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21015" windowHeight="9975" activeTab="1"/>
  </bookViews>
  <sheets>
    <sheet name="дох расх" sheetId="1" r:id="rId1"/>
    <sheet name="динамика дох" sheetId="2" r:id="rId2"/>
    <sheet name="Лист3" sheetId="3" r:id="rId3"/>
  </sheets>
  <definedNames>
    <definedName name="_xlnm.Print_Area" localSheetId="1">'динамика дох'!$A$2:$I$45</definedName>
    <definedName name="_xlnm.Print_Area" localSheetId="0">'дох расх'!$B$1:$G$21</definedName>
  </definedNames>
  <calcPr calcId="124519"/>
</workbook>
</file>

<file path=xl/calcChain.xml><?xml version="1.0" encoding="utf-8"?>
<calcChain xmlns="http://schemas.openxmlformats.org/spreadsheetml/2006/main">
  <c r="I45" i="2"/>
  <c r="E45"/>
  <c r="I39"/>
  <c r="E39"/>
  <c r="E33"/>
  <c r="E22" s="1"/>
  <c r="I33"/>
  <c r="I27"/>
  <c r="E27"/>
  <c r="I23"/>
  <c r="E23"/>
  <c r="E12"/>
  <c r="I12"/>
  <c r="I9" s="1"/>
  <c r="I22"/>
  <c r="I17"/>
  <c r="E17"/>
  <c r="I13"/>
  <c r="E13"/>
  <c r="E9"/>
  <c r="I7"/>
  <c r="E7"/>
  <c r="H39"/>
  <c r="G39"/>
  <c r="F39"/>
  <c r="D39"/>
  <c r="C39"/>
  <c r="B39"/>
  <c r="H33"/>
  <c r="G33"/>
  <c r="F33"/>
  <c r="D33"/>
  <c r="C33"/>
  <c r="B33"/>
  <c r="H27"/>
  <c r="G27"/>
  <c r="F27"/>
  <c r="D27"/>
  <c r="C27"/>
  <c r="B27"/>
  <c r="H23"/>
  <c r="G23"/>
  <c r="F23"/>
  <c r="D23"/>
  <c r="C23"/>
  <c r="B23"/>
  <c r="H22"/>
  <c r="G22"/>
  <c r="F22"/>
  <c r="D22"/>
  <c r="C22"/>
  <c r="B22"/>
  <c r="H17"/>
  <c r="G17"/>
  <c r="F17"/>
  <c r="D17"/>
  <c r="C17"/>
  <c r="B17"/>
  <c r="H13"/>
  <c r="G13"/>
  <c r="F13"/>
  <c r="D13"/>
  <c r="C13"/>
  <c r="B13"/>
  <c r="H12"/>
  <c r="G12"/>
  <c r="D12"/>
  <c r="C12"/>
  <c r="B12"/>
  <c r="H9"/>
  <c r="G9"/>
  <c r="F9"/>
  <c r="D9"/>
  <c r="C9"/>
  <c r="B9"/>
  <c r="H7"/>
  <c r="G7"/>
  <c r="F7"/>
  <c r="D7"/>
  <c r="C7"/>
  <c r="B7"/>
  <c r="H6"/>
  <c r="H45" s="1"/>
  <c r="G6"/>
  <c r="G45" s="1"/>
  <c r="F6"/>
  <c r="F45" s="1"/>
  <c r="D6"/>
  <c r="D45" s="1"/>
  <c r="C6"/>
  <c r="C45" s="1"/>
  <c r="B6"/>
  <c r="B45" s="1"/>
  <c r="F81" i="1"/>
  <c r="F70"/>
  <c r="F60"/>
  <c r="F30"/>
  <c r="G49"/>
  <c r="G34"/>
  <c r="F31"/>
  <c r="E50"/>
  <c r="E80"/>
  <c r="E79"/>
  <c r="E78"/>
  <c r="E75"/>
  <c r="E74"/>
  <c r="E73"/>
  <c r="E72"/>
  <c r="E71"/>
  <c r="G71"/>
  <c r="E69"/>
  <c r="E68"/>
  <c r="E66"/>
  <c r="E65"/>
  <c r="E64"/>
  <c r="E63"/>
  <c r="E61"/>
  <c r="E56"/>
  <c r="G56"/>
  <c r="E55"/>
  <c r="E51"/>
  <c r="E49"/>
  <c r="E48"/>
  <c r="E47"/>
  <c r="E46"/>
  <c r="E45"/>
  <c r="E43"/>
  <c r="E42"/>
  <c r="E41"/>
  <c r="E40"/>
  <c r="E39"/>
  <c r="E38"/>
  <c r="E37"/>
  <c r="E36"/>
  <c r="E35"/>
  <c r="E34"/>
  <c r="E33"/>
  <c r="E32"/>
  <c r="E29"/>
  <c r="F76"/>
  <c r="D80"/>
  <c r="D79"/>
  <c r="D78"/>
  <c r="D75"/>
  <c r="D74"/>
  <c r="D73"/>
  <c r="D72"/>
  <c r="D71"/>
  <c r="D69"/>
  <c r="D68"/>
  <c r="D61"/>
  <c r="D66"/>
  <c r="D65"/>
  <c r="G65"/>
  <c r="D64"/>
  <c r="D63"/>
  <c r="G79"/>
  <c r="G80"/>
  <c r="G74"/>
  <c r="G61"/>
  <c r="D56"/>
  <c r="D55"/>
  <c r="D51"/>
  <c r="D49"/>
  <c r="D47"/>
  <c r="D46"/>
  <c r="D45"/>
  <c r="D36"/>
  <c r="D43"/>
  <c r="D42"/>
  <c r="D41"/>
  <c r="D40"/>
  <c r="D38"/>
  <c r="D37"/>
  <c r="D35"/>
  <c r="D34"/>
  <c r="D33"/>
  <c r="D32"/>
  <c r="D29"/>
  <c r="C70"/>
  <c r="E70" s="1"/>
  <c r="G16"/>
  <c r="E20"/>
  <c r="E18"/>
  <c r="E17"/>
  <c r="E16"/>
  <c r="E15"/>
  <c r="E14"/>
  <c r="E12"/>
  <c r="E11"/>
  <c r="E10"/>
  <c r="E9"/>
  <c r="E8"/>
  <c r="D20"/>
  <c r="D18"/>
  <c r="D17"/>
  <c r="D16"/>
  <c r="D15"/>
  <c r="D14"/>
  <c r="D12"/>
  <c r="D11"/>
  <c r="D10"/>
  <c r="D9"/>
  <c r="D8"/>
  <c r="C7"/>
  <c r="E7" s="1"/>
  <c r="F7"/>
  <c r="G8"/>
  <c r="G9"/>
  <c r="G10"/>
  <c r="G11"/>
  <c r="G12"/>
  <c r="D13"/>
  <c r="G14"/>
  <c r="G15"/>
  <c r="G17"/>
  <c r="G18"/>
  <c r="D19"/>
  <c r="G20"/>
  <c r="C21"/>
  <c r="E21" s="1"/>
  <c r="F21"/>
  <c r="G29"/>
  <c r="C31"/>
  <c r="E31" s="1"/>
  <c r="G32"/>
  <c r="G33"/>
  <c r="G35"/>
  <c r="G36"/>
  <c r="G37"/>
  <c r="G38"/>
  <c r="C39"/>
  <c r="F39"/>
  <c r="G40"/>
  <c r="G41"/>
  <c r="G42"/>
  <c r="G43"/>
  <c r="C44"/>
  <c r="E44" s="1"/>
  <c r="F44"/>
  <c r="G45"/>
  <c r="G46"/>
  <c r="G47"/>
  <c r="D48"/>
  <c r="G48"/>
  <c r="C50"/>
  <c r="F50"/>
  <c r="D50"/>
  <c r="G51"/>
  <c r="D52"/>
  <c r="E52"/>
  <c r="G52"/>
  <c r="C53"/>
  <c r="E53" s="1"/>
  <c r="F53"/>
  <c r="D54"/>
  <c r="E54"/>
  <c r="G54"/>
  <c r="G55"/>
  <c r="D57"/>
  <c r="E57"/>
  <c r="G57"/>
  <c r="D58"/>
  <c r="E58"/>
  <c r="G58"/>
  <c r="D59"/>
  <c r="E59"/>
  <c r="G59"/>
  <c r="C62"/>
  <c r="F62"/>
  <c r="G63"/>
  <c r="G64"/>
  <c r="G66"/>
  <c r="C67"/>
  <c r="E67" s="1"/>
  <c r="F67"/>
  <c r="G68"/>
  <c r="G69"/>
  <c r="G72"/>
  <c r="G73"/>
  <c r="G75"/>
  <c r="C76"/>
  <c r="D76" s="1"/>
  <c r="D77"/>
  <c r="E77"/>
  <c r="G77"/>
  <c r="G78"/>
  <c r="E6" i="2" l="1"/>
  <c r="I6"/>
  <c r="E76" i="1"/>
  <c r="D70"/>
  <c r="C60"/>
  <c r="E60" s="1"/>
  <c r="E62"/>
  <c r="C30"/>
  <c r="E30" s="1"/>
  <c r="G76"/>
  <c r="C81"/>
  <c r="E81" s="1"/>
  <c r="D67"/>
  <c r="G70"/>
  <c r="G67"/>
  <c r="D62"/>
  <c r="D60" s="1"/>
  <c r="G60"/>
  <c r="D53"/>
  <c r="G53"/>
  <c r="G50"/>
  <c r="D44"/>
  <c r="G44"/>
  <c r="D39"/>
  <c r="G39"/>
  <c r="D31"/>
  <c r="D7"/>
  <c r="D21"/>
  <c r="G21"/>
  <c r="G7"/>
  <c r="G62"/>
  <c r="G31"/>
  <c r="D30" l="1"/>
  <c r="D81" s="1"/>
  <c r="G30"/>
  <c r="G81" l="1"/>
</calcChain>
</file>

<file path=xl/sharedStrings.xml><?xml version="1.0" encoding="utf-8"?>
<sst xmlns="http://schemas.openxmlformats.org/spreadsheetml/2006/main" count="136" uniqueCount="103">
  <si>
    <t>Наименование доходов</t>
  </si>
  <si>
    <t>план</t>
  </si>
  <si>
    <t>% исполнения</t>
  </si>
  <si>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</si>
  <si>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</si>
  <si>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</si>
  <si>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</si>
  <si>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Налоги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</si>
  <si>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</si>
  <si>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</si>
  <si>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</si>
  <si>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(работ) и компенсаций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</si>
  <si>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</si>
  <si>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</si>
  <si>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Безвозмездные поступления</t>
  </si>
  <si>
    <t>ВСЕГО ДОХОДОВ</t>
  </si>
  <si>
    <t>Наименование расходов</t>
  </si>
  <si>
    <t>СОВЕТ ДЕПУТАТОВ ГОРОДА СОРСКА</t>
  </si>
  <si>
    <t>АДМИНИСТРАЦИЯ ГОРОДА СОРСКА</t>
  </si>
  <si>
    <t>Общегосударственные вопросы</t>
  </si>
  <si>
    <t>Функционирование высшего должностного лица субъекта РФ и МО</t>
  </si>
  <si>
    <t>Функционирование местной администрации</t>
  </si>
  <si>
    <t>Обеспечение проведения выборов и референдумов</t>
  </si>
  <si>
    <t>Резервные фонды</t>
  </si>
  <si>
    <t>Другие общегосударственные вопросы (программы)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</si>
  <si>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</si>
  <si>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</si>
  <si>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</si>
  <si>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Сельское хозяйство и рыболовство</t>
  </si>
  <si>
    <t>Транспорт</t>
  </si>
  <si>
    <t>Дородное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</si>
  <si>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</si>
  <si>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</si>
  <si>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</si>
  <si>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</si>
  <si>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</si>
  <si>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</si>
  <si>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Культура и кинематография</t>
  </si>
  <si>
    <t>Культура</t>
  </si>
  <si>
    <t xml:space="preserve">Другие вопросы в области культуры и кинематографии </t>
  </si>
  <si>
    <t>Социальная политика</t>
  </si>
  <si>
    <t>Пенсионное обеспечение</t>
  </si>
  <si>
    <t>Социальное обеспечение</t>
  </si>
  <si>
    <t>Охрана семьи и детства</t>
  </si>
  <si>
    <t>Другие вопросы в области социальной политики</t>
  </si>
  <si>
    <t>Обслуживание государственного и муниципального долга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</si>
  <si>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</si>
  <si>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</si>
  <si>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</si>
  <si>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</si>
  <si>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Другие вопросы в области образования</t>
  </si>
  <si>
    <t>Сциальная политика</t>
  </si>
  <si>
    <t>Физическая культура и спорт</t>
  </si>
  <si>
    <t>ИТОГО РАСХОДОВ</t>
  </si>
  <si>
    <t>сумма прироста плановых назначений с начала года</t>
  </si>
  <si>
    <t>% прироста плана</t>
  </si>
  <si>
    <t>факт I полугодие</t>
  </si>
  <si>
    <t xml:space="preserve">Задолженность и перерасчеты по отмененным налогам, сборам и иным обязательным платежам </t>
  </si>
  <si>
    <t>Прочие неналоговые доходы</t>
  </si>
  <si>
    <t>ОТДЕЛ КОНТРАКТНОЙ СЛУЖБЫ АДМИНИСТРАЦИИ г. СОРСКА</t>
  </si>
  <si>
    <t>ОТДЕЛ ОБРАЗОВАНИЯ АДМИНИСТРАЦИИ г. СОРСКА</t>
  </si>
  <si>
    <t>УПРАВЛЕНИЕ КУЛЬТУРЫ,МОЛОДЕЖИ, СПОРТА И ТУРИЗМА АДМИНИСТРАЦИИ г.СОРСКА</t>
  </si>
  <si>
    <t>ОТДЕЛ ПО УПРАВЛЕНИЮ МУНИЦИПАЛЬНЫМ ИМУЩЕСТВОМ АДМИНИСТРАЦИИ г.СОРСКА</t>
  </si>
  <si>
    <t xml:space="preserve">        ИСПОЛНЕНИЕ ДОХОДНОЙ ЧАСТИ БЮДЖЕТА МО г. СОРСК за I полугодие 2017 года</t>
  </si>
  <si>
    <t xml:space="preserve">        ИСПОЛНЕНИЕ РАСХОДНОЙ ЧАСТИ БЮДЖЕТА МО г. СОРСК за I полугодие 2017 года</t>
  </si>
  <si>
    <t>Образование (профессиональная подготовка, переподготовка и повышение квалификации)</t>
  </si>
  <si>
    <t>ОТДЕЛ ПРАВОВОГО РЕГУЛИРОВАНИЯ АДМИНИСТРАЦИИ ГОРОДА СОРСКА</t>
  </si>
  <si>
    <t>КОНТРОЛЬНО-СЧЕТНАЯ ПАЛАТА ГОРОДА СОРСКА</t>
  </si>
  <si>
    <t xml:space="preserve">    ИСПОЛНЕНИЕ ДОХОДНОЙ ЧАСТИ БЮДЖЕТА МО г. СОРСК за I полугодие в динамике </t>
  </si>
  <si>
    <t>ПЛАН по итогам 1 полугодия</t>
  </si>
  <si>
    <t>ИСПОЛНЕНИЕ по итогам 1 полугодия</t>
  </si>
  <si>
    <t>2014г</t>
  </si>
  <si>
    <t>2015г</t>
  </si>
  <si>
    <t>2016г</t>
  </si>
  <si>
    <t>НАЛОГОВЫЕ ДОХОДЫ</t>
  </si>
  <si>
    <t>НДФЛ</t>
  </si>
  <si>
    <t xml:space="preserve">Доходы от уплаты акцизов на дизельное топливо </t>
  </si>
  <si>
    <t>Доходы от уплаты акцизов на моторные масла</t>
  </si>
  <si>
    <t>Доходы от уплаты акцизов на автомобильный бензин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</si>
  <si>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</si>
  <si>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</si>
  <si>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налогооблажения</t>
  </si>
  <si>
    <t>Налог на имущество физ.лиц</t>
  </si>
  <si>
    <t>Земельный налог</t>
  </si>
  <si>
    <t>НЕНАЛОГОВЫЕ ДОХОДЫ</t>
  </si>
  <si>
    <t>Доходы, получаемые в виде арендных платежей</t>
  </si>
  <si>
    <t>Платежи от МУП (часть прибыли)</t>
  </si>
  <si>
    <t xml:space="preserve">Прочие поступления </t>
  </si>
  <si>
    <t>Выбросы стационарными объектами</t>
  </si>
  <si>
    <t>Выбросы передвижными объектами</t>
  </si>
  <si>
    <t>Сбросы в водные объекты</t>
  </si>
  <si>
    <t xml:space="preserve">Размещение отходов производства и потребления </t>
  </si>
  <si>
    <t>Реализация основных средств</t>
  </si>
  <si>
    <t>Реализация материальных ценностей</t>
  </si>
  <si>
    <t>Продажа земельных участков</t>
  </si>
  <si>
    <t>Дотации</t>
  </si>
  <si>
    <t>Субсидии</t>
  </si>
  <si>
    <t xml:space="preserve">Субвенции </t>
  </si>
  <si>
    <t>Возврат остатков</t>
  </si>
  <si>
    <t>Иные</t>
  </si>
  <si>
    <t>2017г</t>
  </si>
  <si>
    <t>Приложение 1</t>
  </si>
  <si>
    <t>Приложение 2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</si>
</sst>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color indexed="10"/>
      <name val="Arial Cyr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8" fillId="0" borderId="1" xfId="0" applyFont="1" applyBorder="1" applyAlignment="1">
      <alignment wrapText="1"/>
    </xf>
    <xf numFmtId="0" fontId="8" fillId="0" borderId="1" xfId="0" applyFont="1" applyBorder="1"/>
    <xf numFmtId="164" fontId="8" fillId="0" borderId="1" xfId="0" applyNumberFormat="1" applyFont="1" applyBorder="1"/>
    <xf numFmtId="0" fontId="1" fillId="0" borderId="0" xfId="0" applyFont="1"/>
    <xf numFmtId="0" fontId="9" fillId="0" borderId="0" xfId="0" applyFont="1"/>
    <xf numFmtId="0" fontId="10" fillId="0" borderId="1" xfId="0" applyFont="1" applyBorder="1" applyAlignment="1">
      <alignment wrapText="1"/>
    </xf>
    <xf numFmtId="0" fontId="10" fillId="0" borderId="1" xfId="0" applyFont="1" applyBorder="1"/>
    <xf numFmtId="164" fontId="10" fillId="0" borderId="1" xfId="0" applyNumberFormat="1" applyFont="1" applyBorder="1"/>
    <xf numFmtId="0" fontId="0" fillId="0" borderId="1" xfId="0" applyBorder="1"/>
    <xf numFmtId="0" fontId="4" fillId="0" borderId="0" xfId="0" applyFont="1" applyBorder="1" applyAlignment="1">
      <alignment wrapText="1"/>
    </xf>
    <xf numFmtId="0" fontId="4" fillId="0" borderId="0" xfId="0" applyFont="1" applyBorder="1"/>
    <xf numFmtId="0" fontId="5" fillId="0" borderId="0" xfId="0" applyFont="1" applyBorder="1"/>
    <xf numFmtId="0" fontId="4" fillId="0" borderId="0" xfId="0" applyFont="1" applyFill="1" applyBorder="1"/>
    <xf numFmtId="0" fontId="0" fillId="0" borderId="0" xfId="0" applyFill="1" applyBorder="1"/>
    <xf numFmtId="0" fontId="6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wrapText="1"/>
    </xf>
    <xf numFmtId="0" fontId="8" fillId="0" borderId="2" xfId="0" applyFont="1" applyBorder="1"/>
    <xf numFmtId="164" fontId="8" fillId="0" borderId="2" xfId="0" applyNumberFormat="1" applyFont="1" applyBorder="1"/>
    <xf numFmtId="164" fontId="10" fillId="0" borderId="2" xfId="0" applyNumberFormat="1" applyFont="1" applyBorder="1"/>
    <xf numFmtId="0" fontId="0" fillId="0" borderId="0" xfId="0" applyBorder="1" applyAlignment="1">
      <alignment wrapText="1"/>
    </xf>
    <xf numFmtId="0" fontId="0" fillId="0" borderId="0" xfId="0" applyBorder="1"/>
    <xf numFmtId="0" fontId="11" fillId="0" borderId="0" xfId="0" applyFont="1" applyBorder="1"/>
    <xf numFmtId="0" fontId="11" fillId="0" borderId="0" xfId="0" applyFont="1"/>
    <xf numFmtId="0" fontId="3" fillId="0" borderId="0" xfId="0" applyFont="1"/>
    <xf numFmtId="0" fontId="7" fillId="0" borderId="0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left" wrapText="1"/>
    </xf>
    <xf numFmtId="0" fontId="12" fillId="0" borderId="12" xfId="0" applyFont="1" applyBorder="1" applyAlignment="1">
      <alignment wrapText="1"/>
    </xf>
    <xf numFmtId="0" fontId="12" fillId="0" borderId="13" xfId="0" applyFont="1" applyBorder="1" applyAlignment="1">
      <alignment wrapText="1"/>
    </xf>
    <xf numFmtId="0" fontId="12" fillId="0" borderId="14" xfId="0" applyFont="1" applyBorder="1" applyAlignment="1">
      <alignment wrapText="1"/>
    </xf>
    <xf numFmtId="0" fontId="12" fillId="0" borderId="0" xfId="0" applyFont="1" applyBorder="1" applyAlignment="1">
      <alignment wrapText="1"/>
    </xf>
    <xf numFmtId="0" fontId="12" fillId="0" borderId="0" xfId="0" applyFont="1"/>
    <xf numFmtId="0" fontId="8" fillId="0" borderId="15" xfId="0" applyFont="1" applyBorder="1" applyAlignment="1">
      <alignment horizontal="left" wrapText="1"/>
    </xf>
    <xf numFmtId="0" fontId="8" fillId="0" borderId="16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8" fillId="0" borderId="0" xfId="0" applyFont="1"/>
    <xf numFmtId="0" fontId="10" fillId="0" borderId="17" xfId="0" applyFont="1" applyBorder="1" applyAlignment="1">
      <alignment horizontal="left" wrapText="1"/>
    </xf>
    <xf numFmtId="0" fontId="10" fillId="0" borderId="18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0" fillId="0" borderId="0" xfId="0" applyFont="1"/>
    <xf numFmtId="0" fontId="8" fillId="0" borderId="17" xfId="0" applyFont="1" applyBorder="1" applyAlignment="1">
      <alignment horizontal="left" wrapText="1"/>
    </xf>
    <xf numFmtId="0" fontId="8" fillId="0" borderId="18" xfId="0" applyFont="1" applyBorder="1" applyAlignment="1">
      <alignment wrapText="1"/>
    </xf>
    <xf numFmtId="0" fontId="10" fillId="0" borderId="17" xfId="0" applyFont="1" applyBorder="1" applyAlignment="1">
      <alignment horizontal="left"/>
    </xf>
    <xf numFmtId="0" fontId="10" fillId="0" borderId="20" xfId="0" applyFont="1" applyBorder="1" applyAlignment="1">
      <alignment horizontal="left" wrapText="1"/>
    </xf>
    <xf numFmtId="0" fontId="10" fillId="0" borderId="21" xfId="0" applyFont="1" applyBorder="1" applyAlignment="1">
      <alignment wrapText="1"/>
    </xf>
    <xf numFmtId="0" fontId="10" fillId="0" borderId="22" xfId="0" applyFont="1" applyBorder="1" applyAlignment="1">
      <alignment wrapText="1"/>
    </xf>
    <xf numFmtId="0" fontId="12" fillId="0" borderId="11" xfId="0" applyFont="1" applyBorder="1" applyAlignment="1">
      <alignment wrapText="1"/>
    </xf>
    <xf numFmtId="164" fontId="6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7" fillId="0" borderId="0" xfId="0" applyFont="1" applyBorder="1"/>
    <xf numFmtId="0" fontId="12" fillId="0" borderId="0" xfId="0" applyFont="1" applyBorder="1"/>
    <xf numFmtId="164" fontId="12" fillId="0" borderId="0" xfId="0" applyNumberFormat="1" applyFont="1" applyBorder="1"/>
    <xf numFmtId="0" fontId="8" fillId="0" borderId="0" xfId="0" applyFont="1" applyBorder="1"/>
    <xf numFmtId="164" fontId="8" fillId="0" borderId="0" xfId="0" applyNumberFormat="1" applyFont="1" applyBorder="1"/>
    <xf numFmtId="0" fontId="10" fillId="0" borderId="0" xfId="0" applyFont="1" applyBorder="1"/>
    <xf numFmtId="164" fontId="10" fillId="0" borderId="0" xfId="0" applyNumberFormat="1" applyFont="1" applyBorder="1"/>
    <xf numFmtId="164" fontId="8" fillId="0" borderId="0" xfId="0" applyNumberFormat="1" applyFont="1" applyBorder="1" applyAlignment="1">
      <alignment horizontal="center" wrapText="1"/>
    </xf>
    <xf numFmtId="0" fontId="6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wrapText="1"/>
    </xf>
    <xf numFmtId="0" fontId="8" fillId="0" borderId="25" xfId="0" applyFont="1" applyBorder="1" applyAlignment="1">
      <alignment wrapText="1"/>
    </xf>
    <xf numFmtId="0" fontId="10" fillId="0" borderId="26" xfId="0" applyFont="1" applyBorder="1" applyAlignment="1">
      <alignment wrapText="1"/>
    </xf>
    <xf numFmtId="0" fontId="8" fillId="0" borderId="26" xfId="0" applyFont="1" applyBorder="1" applyAlignment="1">
      <alignment wrapText="1"/>
    </xf>
    <xf numFmtId="0" fontId="10" fillId="0" borderId="27" xfId="0" applyFont="1" applyBorder="1" applyAlignment="1">
      <alignment wrapText="1"/>
    </xf>
    <xf numFmtId="0" fontId="6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left" wrapText="1"/>
    </xf>
    <xf numFmtId="0" fontId="10" fillId="0" borderId="1" xfId="0" applyFont="1" applyBorder="1" applyAlignment="1">
      <alignment horizontal="right" wrapText="1"/>
    </xf>
    <xf numFmtId="0" fontId="10" fillId="0" borderId="26" xfId="0" applyFont="1" applyBorder="1" applyAlignment="1">
      <alignment horizontal="right" wrapText="1"/>
    </xf>
    <xf numFmtId="0" fontId="8" fillId="0" borderId="28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8" fillId="0" borderId="29" xfId="0" applyFont="1" applyBorder="1" applyAlignment="1">
      <alignment wrapText="1"/>
    </xf>
    <xf numFmtId="0" fontId="10" fillId="0" borderId="30" xfId="0" applyFont="1" applyBorder="1" applyAlignment="1">
      <alignment wrapText="1"/>
    </xf>
    <xf numFmtId="0" fontId="8" fillId="0" borderId="30" xfId="0" applyFont="1" applyBorder="1" applyAlignment="1">
      <alignment wrapText="1"/>
    </xf>
    <xf numFmtId="0" fontId="10" fillId="0" borderId="30" xfId="0" applyFont="1" applyBorder="1" applyAlignment="1">
      <alignment horizontal="right" wrapText="1"/>
    </xf>
    <xf numFmtId="0" fontId="10" fillId="0" borderId="31" xfId="0" applyFont="1" applyBorder="1" applyAlignment="1">
      <alignment wrapText="1"/>
    </xf>
    <xf numFmtId="0" fontId="10" fillId="0" borderId="18" xfId="0" applyFont="1" applyBorder="1" applyAlignment="1">
      <alignment horizontal="right" wrapText="1"/>
    </xf>
    <xf numFmtId="0" fontId="0" fillId="0" borderId="0" xfId="0" applyAlignment="1">
      <alignment horizontal="right"/>
    </xf>
    <xf numFmtId="164" fontId="10" fillId="0" borderId="0" xfId="0" applyNumberFormat="1" applyFont="1" applyBorder="1" applyAlignment="1">
      <alignment horizontal="right"/>
    </xf>
    <xf numFmtId="0" fontId="6" fillId="0" borderId="3" xfId="0" applyFont="1" applyBorder="1" applyAlignment="1">
      <alignment horizontal="center" vertical="center" wrapText="1"/>
    </xf>
    <xf numFmtId="0" fontId="0" fillId="0" borderId="7" xfId="0" applyBorder="1" applyAlignment="1"/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0"/>
  <sheetViews>
    <sheetView topLeftCell="A10" workbookViewId="0">
      <selection activeCell="B1" sqref="B1:G21"/>
    </sheetView>
  </sheetViews>
  <sheetFormatPr defaultRowHeight="15"/>
  <cols>
    <col min="1" max="1" width="9.140625" style="1"/>
    <col min="2" max="2" width="39.28515625" style="1" customWidth="1"/>
    <col min="3" max="3" width="16" style="1" customWidth="1"/>
    <col min="4" max="4" width="16" style="30" customWidth="1"/>
    <col min="5" max="5" width="11.85546875" style="1" customWidth="1"/>
    <col min="6" max="6" width="13.28515625" style="1" customWidth="1"/>
    <col min="7" max="7" width="10.5703125" style="1" customWidth="1"/>
    <col min="8" max="16384" width="9.140625" style="1"/>
  </cols>
  <sheetData>
    <row r="1" spans="2:8">
      <c r="F1" s="86" t="s">
        <v>101</v>
      </c>
      <c r="G1" s="86"/>
    </row>
    <row r="4" spans="2:8" ht="15.75">
      <c r="B4" s="2" t="s">
        <v>63</v>
      </c>
      <c r="C4" s="3"/>
      <c r="D4" s="4"/>
      <c r="E4" s="3"/>
      <c r="F4" s="3"/>
      <c r="G4" s="3"/>
      <c r="H4" s="3"/>
    </row>
    <row r="5" spans="2:8">
      <c r="B5" s="3"/>
      <c r="C5" s="3"/>
      <c r="D5" s="4"/>
      <c r="E5" s="3"/>
      <c r="F5" s="3"/>
      <c r="G5" s="3"/>
      <c r="H5" s="3"/>
    </row>
    <row r="6" spans="2:8" ht="48">
      <c r="B6" s="5" t="s">
        <v>0</v>
      </c>
      <c r="C6" s="5" t="s">
        <v>1</v>
      </c>
      <c r="D6" s="6" t="s">
        <v>54</v>
      </c>
      <c r="E6" s="5" t="s">
        <v>55</v>
      </c>
      <c r="F6" s="5" t="s">
        <v>56</v>
      </c>
      <c r="G6" s="5" t="s">
        <v>2</v>
      </c>
      <c r="H6" s="3"/>
    </row>
    <row r="7" spans="2:8" s="7" customFormat="1" ht="18.75" customHeight="1">
      <c r="B7" s="8" t="s">
        <v>3</v>
      </c>
      <c r="C7" s="9">
        <f>SUM(C8:C19)</f>
        <v>148274.1</v>
      </c>
      <c r="D7" s="9">
        <f>C7-142674.1</f>
        <v>5600</v>
      </c>
      <c r="E7" s="10">
        <f>C7/142674.1*100-100</f>
        <v>3.9250291398368802</v>
      </c>
      <c r="F7" s="9">
        <f>SUM(F8:F19)</f>
        <v>80281</v>
      </c>
      <c r="G7" s="10">
        <f t="shared" ref="G7:G12" si="0">F7/C7*100</f>
        <v>54.143643427948639</v>
      </c>
      <c r="H7" s="11"/>
    </row>
    <row r="8" spans="2:8" s="12" customFormat="1" ht="20.25" customHeight="1">
      <c r="B8" s="13" t="s">
        <v>4</v>
      </c>
      <c r="C8" s="14">
        <v>103788.5</v>
      </c>
      <c r="D8" s="14">
        <f>C8-98788.5</f>
        <v>5000</v>
      </c>
      <c r="E8" s="15">
        <f>C8/98788.5*100-100</f>
        <v>5.0613178659459237</v>
      </c>
      <c r="F8" s="14">
        <v>62279.6</v>
      </c>
      <c r="G8" s="15">
        <f t="shared" si="0"/>
        <v>60.006262736237638</v>
      </c>
      <c r="H8" s="3"/>
    </row>
    <row r="9" spans="2:8" ht="28.5" customHeight="1">
      <c r="B9" s="13" t="s">
        <v>5</v>
      </c>
      <c r="C9" s="14">
        <v>2685.7</v>
      </c>
      <c r="D9" s="14">
        <f>C9-2685.7</f>
        <v>0</v>
      </c>
      <c r="E9" s="15">
        <f>C9/2685.7*100-100</f>
        <v>0</v>
      </c>
      <c r="F9" s="14">
        <v>1353.2</v>
      </c>
      <c r="G9" s="15">
        <f t="shared" si="0"/>
        <v>50.385374390289314</v>
      </c>
      <c r="H9" s="3"/>
    </row>
    <row r="10" spans="2:8" ht="18" customHeight="1">
      <c r="B10" s="13" t="s">
        <v>6</v>
      </c>
      <c r="C10" s="14">
        <v>2181</v>
      </c>
      <c r="D10" s="14">
        <f>C10-2181</f>
        <v>0</v>
      </c>
      <c r="E10" s="15">
        <f>C10/2181*100-100</f>
        <v>0</v>
      </c>
      <c r="F10" s="14">
        <v>1003</v>
      </c>
      <c r="G10" s="15">
        <f t="shared" si="0"/>
        <v>45.988078862906924</v>
      </c>
      <c r="H10" s="3"/>
    </row>
    <row r="11" spans="2:8" ht="18.75" customHeight="1">
      <c r="B11" s="13" t="s">
        <v>7</v>
      </c>
      <c r="C11" s="14">
        <v>4425.1000000000004</v>
      </c>
      <c r="D11" s="14">
        <f>C11-4425.1</f>
        <v>0</v>
      </c>
      <c r="E11" s="15">
        <f>C11/4425.1*100-100</f>
        <v>0</v>
      </c>
      <c r="F11" s="14">
        <v>1096.8</v>
      </c>
      <c r="G11" s="15">
        <f t="shared" si="0"/>
        <v>24.785880545072423</v>
      </c>
      <c r="H11" s="3"/>
    </row>
    <row r="12" spans="2:8" ht="18.75" customHeight="1">
      <c r="B12" s="13" t="s">
        <v>8</v>
      </c>
      <c r="C12" s="14">
        <v>1727</v>
      </c>
      <c r="D12" s="14">
        <f>C12-1727</f>
        <v>0</v>
      </c>
      <c r="E12" s="15">
        <f>C12/1727*100-100</f>
        <v>0</v>
      </c>
      <c r="F12" s="14">
        <v>654.70000000000005</v>
      </c>
      <c r="G12" s="15">
        <f t="shared" si="0"/>
        <v>37.909669947886506</v>
      </c>
      <c r="H12" s="3"/>
    </row>
    <row r="13" spans="2:8" ht="47.25" customHeight="1">
      <c r="B13" s="13" t="s">
        <v>57</v>
      </c>
      <c r="C13" s="16">
        <v>0</v>
      </c>
      <c r="D13" s="14">
        <f>C13-0</f>
        <v>0</v>
      </c>
      <c r="E13" s="15">
        <v>0</v>
      </c>
      <c r="F13" s="14"/>
      <c r="G13" s="15">
        <v>0</v>
      </c>
      <c r="H13" s="3"/>
    </row>
    <row r="14" spans="2:8" ht="47.25" customHeight="1">
      <c r="B14" s="13" t="s">
        <v>9</v>
      </c>
      <c r="C14" s="14">
        <v>10207</v>
      </c>
      <c r="D14" s="14">
        <f>C14-10207</f>
        <v>0</v>
      </c>
      <c r="E14" s="15">
        <f>C14/10207*100-100</f>
        <v>0</v>
      </c>
      <c r="F14" s="14">
        <v>4387.5</v>
      </c>
      <c r="G14" s="15">
        <f>F14/C14*100</f>
        <v>42.985206231017933</v>
      </c>
      <c r="H14" s="3"/>
    </row>
    <row r="15" spans="2:8" ht="30.75" customHeight="1">
      <c r="B15" s="13" t="s">
        <v>10</v>
      </c>
      <c r="C15" s="14">
        <v>15920.1</v>
      </c>
      <c r="D15" s="14">
        <f>C15-15920.1</f>
        <v>0</v>
      </c>
      <c r="E15" s="15">
        <f>C15/15920.1*100-100</f>
        <v>0</v>
      </c>
      <c r="F15" s="14">
        <v>3555</v>
      </c>
      <c r="G15" s="15">
        <f>F15/C15*100</f>
        <v>22.330261744587034</v>
      </c>
      <c r="H15" s="3"/>
    </row>
    <row r="16" spans="2:8" ht="30.75" customHeight="1">
      <c r="B16" s="13" t="s">
        <v>11</v>
      </c>
      <c r="C16" s="14">
        <v>5601</v>
      </c>
      <c r="D16" s="14">
        <f>C16-5001</f>
        <v>600</v>
      </c>
      <c r="E16" s="15">
        <f>C16/5001*100-100</f>
        <v>11.997600479904008</v>
      </c>
      <c r="F16" s="14">
        <v>5568.9</v>
      </c>
      <c r="G16" s="15">
        <f>F16/C16*100</f>
        <v>99.426888055704339</v>
      </c>
      <c r="H16" s="3"/>
    </row>
    <row r="17" spans="2:9" ht="33.75" customHeight="1">
      <c r="B17" s="13" t="s">
        <v>12</v>
      </c>
      <c r="C17" s="14">
        <v>1099</v>
      </c>
      <c r="D17" s="14">
        <f>C17-1099</f>
        <v>0</v>
      </c>
      <c r="E17" s="15">
        <f>C17/1099*100-100</f>
        <v>0</v>
      </c>
      <c r="F17" s="14">
        <v>72.599999999999994</v>
      </c>
      <c r="G17" s="15">
        <f>F17/C17*100</f>
        <v>6.6060054595086433</v>
      </c>
      <c r="H17" s="3"/>
    </row>
    <row r="18" spans="2:9" ht="21" customHeight="1">
      <c r="B18" s="13" t="s">
        <v>13</v>
      </c>
      <c r="C18" s="14">
        <v>639.70000000000005</v>
      </c>
      <c r="D18" s="14">
        <f>C18-639.7</f>
        <v>0</v>
      </c>
      <c r="E18" s="15">
        <f>C18/639.7*100-100</f>
        <v>0</v>
      </c>
      <c r="F18" s="14">
        <v>308.60000000000002</v>
      </c>
      <c r="G18" s="15">
        <f>F18/C18*100</f>
        <v>48.241363138971394</v>
      </c>
      <c r="H18" s="3"/>
    </row>
    <row r="19" spans="2:9" ht="20.25" customHeight="1">
      <c r="B19" s="13" t="s">
        <v>58</v>
      </c>
      <c r="C19" s="14">
        <v>0</v>
      </c>
      <c r="D19" s="14">
        <f>C19-0</f>
        <v>0</v>
      </c>
      <c r="E19" s="15">
        <v>0</v>
      </c>
      <c r="F19" s="14">
        <v>1.1000000000000001</v>
      </c>
      <c r="G19" s="15">
        <v>0</v>
      </c>
      <c r="H19" s="3"/>
    </row>
    <row r="20" spans="2:9" ht="19.5" customHeight="1">
      <c r="B20" s="8" t="s">
        <v>14</v>
      </c>
      <c r="C20" s="9">
        <v>143500.20000000001</v>
      </c>
      <c r="D20" s="9">
        <f>C20-133945.9</f>
        <v>9554.3000000000175</v>
      </c>
      <c r="E20" s="10">
        <f>C20/133945.9*100-100</f>
        <v>7.1329544241369263</v>
      </c>
      <c r="F20" s="9">
        <v>87571.5</v>
      </c>
      <c r="G20" s="10">
        <f>F20/C20*100</f>
        <v>61.025350487316388</v>
      </c>
      <c r="H20" s="3"/>
    </row>
    <row r="21" spans="2:9">
      <c r="B21" s="8" t="s">
        <v>15</v>
      </c>
      <c r="C21" s="9">
        <f>C7+C20</f>
        <v>291774.30000000005</v>
      </c>
      <c r="D21" s="9">
        <f>C21-276620</f>
        <v>15154.300000000047</v>
      </c>
      <c r="E21" s="10">
        <f>C21/276620*100-100</f>
        <v>5.4783818957414638</v>
      </c>
      <c r="F21" s="10">
        <f>F7+F20</f>
        <v>167852.5</v>
      </c>
      <c r="G21" s="10">
        <f>F21/C21*100</f>
        <v>57.528199022326497</v>
      </c>
      <c r="H21" s="3"/>
    </row>
    <row r="22" spans="2:9">
      <c r="B22" s="45"/>
      <c r="C22" s="63"/>
      <c r="D22" s="63"/>
      <c r="E22" s="64"/>
      <c r="F22" s="64"/>
      <c r="G22" s="64"/>
      <c r="H22" s="3"/>
    </row>
    <row r="23" spans="2:9">
      <c r="B23" s="45"/>
      <c r="C23" s="63"/>
      <c r="D23" s="63"/>
      <c r="E23" s="64"/>
      <c r="F23" s="87" t="s">
        <v>102</v>
      </c>
      <c r="G23" s="87"/>
      <c r="H23" s="3"/>
    </row>
    <row r="24" spans="2:9">
      <c r="B24" s="45"/>
      <c r="C24" s="63"/>
      <c r="D24" s="63"/>
      <c r="E24" s="64"/>
      <c r="F24" s="64"/>
      <c r="G24" s="64"/>
      <c r="H24" s="3"/>
    </row>
    <row r="25" spans="2:9">
      <c r="B25" s="17"/>
      <c r="C25" s="18"/>
      <c r="D25" s="19"/>
      <c r="E25" s="18"/>
      <c r="F25" s="3"/>
      <c r="G25" s="3"/>
      <c r="H25" s="3"/>
    </row>
    <row r="26" spans="2:9" ht="15.75">
      <c r="B26" s="2" t="s">
        <v>64</v>
      </c>
      <c r="C26" s="18"/>
      <c r="D26" s="19"/>
      <c r="E26" s="18"/>
      <c r="F26" s="3"/>
      <c r="G26" s="3"/>
      <c r="H26" s="3"/>
    </row>
    <row r="27" spans="2:9">
      <c r="B27" s="17"/>
      <c r="C27" s="18"/>
      <c r="D27" s="19"/>
      <c r="E27" s="18"/>
      <c r="F27" s="3"/>
      <c r="G27" s="3"/>
      <c r="H27" s="20"/>
      <c r="I27" s="21"/>
    </row>
    <row r="28" spans="2:9" ht="48">
      <c r="B28" s="5" t="s">
        <v>16</v>
      </c>
      <c r="C28" s="22" t="s">
        <v>1</v>
      </c>
      <c r="D28" s="6" t="s">
        <v>54</v>
      </c>
      <c r="E28" s="5" t="s">
        <v>55</v>
      </c>
      <c r="F28" s="5" t="s">
        <v>56</v>
      </c>
      <c r="G28" s="5" t="s">
        <v>2</v>
      </c>
      <c r="H28" s="3"/>
    </row>
    <row r="29" spans="2:9" s="7" customFormat="1" ht="28.5" customHeight="1">
      <c r="B29" s="23" t="s">
        <v>17</v>
      </c>
      <c r="C29" s="24">
        <v>2376</v>
      </c>
      <c r="D29" s="9">
        <f>C29-2376</f>
        <v>0</v>
      </c>
      <c r="E29" s="15">
        <f>C29/2376*100-100</f>
        <v>0</v>
      </c>
      <c r="F29" s="24">
        <v>1220</v>
      </c>
      <c r="G29" s="25">
        <f t="shared" ref="G29:G81" si="1">F29/C29*100</f>
        <v>51.34680134680135</v>
      </c>
      <c r="H29" s="11"/>
    </row>
    <row r="30" spans="2:9" s="7" customFormat="1" ht="28.5">
      <c r="B30" s="8" t="s">
        <v>18</v>
      </c>
      <c r="C30" s="9">
        <f>C31+C37+C38+C39+C44+C50+C53+C58+C49</f>
        <v>92758.399999999994</v>
      </c>
      <c r="D30" s="9">
        <f>D31+D37+D38+D39+D44+D50+D53+D58</f>
        <v>12516.200000000003</v>
      </c>
      <c r="E30" s="10">
        <f>C30/80242.2*100-100</f>
        <v>15.598026973338207</v>
      </c>
      <c r="F30" s="9">
        <f>F31+F37+F38+F39+F44+F50+F53+F58+F49</f>
        <v>35913.300000000003</v>
      </c>
      <c r="G30" s="25">
        <f t="shared" si="1"/>
        <v>38.717032635319285</v>
      </c>
      <c r="H30" s="11"/>
    </row>
    <row r="31" spans="2:9" s="7" customFormat="1" ht="14.25">
      <c r="B31" s="8" t="s">
        <v>19</v>
      </c>
      <c r="C31" s="9">
        <f>SUM(C32:C36)</f>
        <v>25771</v>
      </c>
      <c r="D31" s="9">
        <f>SUM(D32:D36)</f>
        <v>1290</v>
      </c>
      <c r="E31" s="10">
        <f>C31/24481*100-100</f>
        <v>5.2693925901719609</v>
      </c>
      <c r="F31" s="9">
        <f>SUM(F32:F36)</f>
        <v>10287.299999999999</v>
      </c>
      <c r="G31" s="25">
        <f t="shared" si="1"/>
        <v>39.918125024252063</v>
      </c>
      <c r="H31" s="11"/>
    </row>
    <row r="32" spans="2:9" ht="30">
      <c r="B32" s="13" t="s">
        <v>20</v>
      </c>
      <c r="C32" s="14">
        <v>1108</v>
      </c>
      <c r="D32" s="14">
        <f>C32-1108</f>
        <v>0</v>
      </c>
      <c r="E32" s="15">
        <f>C32/1108*100-100</f>
        <v>0</v>
      </c>
      <c r="F32" s="14">
        <v>599.9</v>
      </c>
      <c r="G32" s="26">
        <f t="shared" si="1"/>
        <v>54.142599277978341</v>
      </c>
      <c r="H32" s="3"/>
    </row>
    <row r="33" spans="2:8" ht="30">
      <c r="B33" s="13" t="s">
        <v>21</v>
      </c>
      <c r="C33" s="14">
        <v>14090</v>
      </c>
      <c r="D33" s="14">
        <f>C33-13000</f>
        <v>1090</v>
      </c>
      <c r="E33" s="15">
        <f>C33/13000*100-100</f>
        <v>8.3846153846153868</v>
      </c>
      <c r="F33" s="14">
        <v>8005.1</v>
      </c>
      <c r="G33" s="26">
        <f t="shared" si="1"/>
        <v>56.814052519517389</v>
      </c>
      <c r="H33" s="3"/>
    </row>
    <row r="34" spans="2:8" ht="30">
      <c r="B34" s="13" t="s">
        <v>22</v>
      </c>
      <c r="C34" s="14">
        <v>600</v>
      </c>
      <c r="D34" s="14">
        <f>C34-600</f>
        <v>0</v>
      </c>
      <c r="E34" s="15">
        <f>C34/600*100-100</f>
        <v>0</v>
      </c>
      <c r="F34" s="14">
        <v>600</v>
      </c>
      <c r="G34" s="26">
        <f t="shared" si="1"/>
        <v>100</v>
      </c>
      <c r="H34" s="3"/>
    </row>
    <row r="35" spans="2:8">
      <c r="B35" s="13" t="s">
        <v>23</v>
      </c>
      <c r="C35" s="14">
        <v>8100</v>
      </c>
      <c r="D35" s="14">
        <f>C35-8100</f>
        <v>0</v>
      </c>
      <c r="E35" s="15">
        <f>C35/8100*100-100</f>
        <v>0</v>
      </c>
      <c r="F35" s="14">
        <v>95.4</v>
      </c>
      <c r="G35" s="26">
        <f t="shared" si="1"/>
        <v>1.1777777777777778</v>
      </c>
      <c r="H35" s="3"/>
    </row>
    <row r="36" spans="2:8" ht="30">
      <c r="B36" s="13" t="s">
        <v>24</v>
      </c>
      <c r="C36" s="14">
        <v>1873</v>
      </c>
      <c r="D36" s="14">
        <f>C36-1673</f>
        <v>200</v>
      </c>
      <c r="E36" s="15">
        <f>C36/1673*100-100</f>
        <v>11.954572624028685</v>
      </c>
      <c r="F36" s="14">
        <v>986.9</v>
      </c>
      <c r="G36" s="26">
        <f t="shared" si="1"/>
        <v>52.690870261612389</v>
      </c>
      <c r="H36" s="3"/>
    </row>
    <row r="37" spans="2:8" s="7" customFormat="1" ht="14.25">
      <c r="B37" s="8" t="s">
        <v>25</v>
      </c>
      <c r="C37" s="9">
        <v>559</v>
      </c>
      <c r="D37" s="9">
        <f>C37-559</f>
        <v>0</v>
      </c>
      <c r="E37" s="10">
        <f>C37/559*100-100</f>
        <v>0</v>
      </c>
      <c r="F37" s="9">
        <v>191.7</v>
      </c>
      <c r="G37" s="25">
        <f t="shared" si="1"/>
        <v>34.29338103756708</v>
      </c>
      <c r="H37" s="11"/>
    </row>
    <row r="38" spans="2:8" s="7" customFormat="1" ht="28.5">
      <c r="B38" s="8" t="s">
        <v>26</v>
      </c>
      <c r="C38" s="9">
        <v>2647.6</v>
      </c>
      <c r="D38" s="9">
        <f>C38-2707</f>
        <v>-59.400000000000091</v>
      </c>
      <c r="E38" s="10">
        <f>C38/2707*100-100</f>
        <v>-2.1943110454377575</v>
      </c>
      <c r="F38" s="9">
        <v>954.4</v>
      </c>
      <c r="G38" s="25">
        <f t="shared" si="1"/>
        <v>36.047741350657198</v>
      </c>
      <c r="H38" s="11"/>
    </row>
    <row r="39" spans="2:8" s="7" customFormat="1" ht="14.25">
      <c r="B39" s="8" t="s">
        <v>27</v>
      </c>
      <c r="C39" s="9">
        <f>SUM(C40:C43)</f>
        <v>11564.9</v>
      </c>
      <c r="D39" s="9">
        <f>SUM(D40:D43)</f>
        <v>0</v>
      </c>
      <c r="E39" s="10">
        <f>C39/11564.9*100-100</f>
        <v>0</v>
      </c>
      <c r="F39" s="9">
        <f>SUM(F40:F43)</f>
        <v>3708.9000000000005</v>
      </c>
      <c r="G39" s="25">
        <f t="shared" si="1"/>
        <v>32.070316215445018</v>
      </c>
      <c r="H39" s="11"/>
    </row>
    <row r="40" spans="2:8">
      <c r="B40" s="13" t="s">
        <v>28</v>
      </c>
      <c r="C40" s="14">
        <v>625</v>
      </c>
      <c r="D40" s="14">
        <f>C40-625</f>
        <v>0</v>
      </c>
      <c r="E40" s="15">
        <f>C40/625*100-100</f>
        <v>0</v>
      </c>
      <c r="F40" s="14">
        <v>81.3</v>
      </c>
      <c r="G40" s="26">
        <f t="shared" si="1"/>
        <v>13.008000000000001</v>
      </c>
      <c r="H40" s="3"/>
    </row>
    <row r="41" spans="2:8">
      <c r="B41" s="13" t="s">
        <v>29</v>
      </c>
      <c r="C41" s="14">
        <v>6800</v>
      </c>
      <c r="D41" s="14">
        <f>C41-6800</f>
        <v>0</v>
      </c>
      <c r="E41" s="15">
        <f>C41/6800*100-100</f>
        <v>0</v>
      </c>
      <c r="F41" s="14">
        <v>3378.8</v>
      </c>
      <c r="G41" s="26">
        <f t="shared" si="1"/>
        <v>49.688235294117646</v>
      </c>
      <c r="H41" s="3"/>
    </row>
    <row r="42" spans="2:8">
      <c r="B42" s="13" t="s">
        <v>30</v>
      </c>
      <c r="C42" s="14">
        <v>3959.9</v>
      </c>
      <c r="D42" s="14">
        <f>C42-3959.9</f>
        <v>0</v>
      </c>
      <c r="E42" s="15">
        <f>C42/3959.9*100-100</f>
        <v>0</v>
      </c>
      <c r="F42" s="14">
        <v>248.8</v>
      </c>
      <c r="G42" s="26">
        <f t="shared" si="1"/>
        <v>6.2829869441147501</v>
      </c>
      <c r="H42" s="3"/>
    </row>
    <row r="43" spans="2:8" ht="30">
      <c r="B43" s="13" t="s">
        <v>31</v>
      </c>
      <c r="C43" s="14">
        <v>180</v>
      </c>
      <c r="D43" s="14">
        <f>C43-180</f>
        <v>0</v>
      </c>
      <c r="E43" s="15">
        <f>C43/180*100-100</f>
        <v>0</v>
      </c>
      <c r="F43" s="14">
        <v>0</v>
      </c>
      <c r="G43" s="26">
        <f t="shared" si="1"/>
        <v>0</v>
      </c>
      <c r="H43" s="3"/>
    </row>
    <row r="44" spans="2:8" s="7" customFormat="1" ht="14.25">
      <c r="B44" s="8" t="s">
        <v>32</v>
      </c>
      <c r="C44" s="9">
        <f>SUM(C45:C48)</f>
        <v>46151.799999999996</v>
      </c>
      <c r="D44" s="9">
        <f>SUM(D45:D48)</f>
        <v>10951.500000000002</v>
      </c>
      <c r="E44" s="10">
        <f>C44/35200.3*100-100</f>
        <v>31.111950750419737</v>
      </c>
      <c r="F44" s="9">
        <f>SUM(F45:F48)</f>
        <v>17285</v>
      </c>
      <c r="G44" s="25">
        <f t="shared" si="1"/>
        <v>37.452493727221906</v>
      </c>
      <c r="H44" s="11"/>
    </row>
    <row r="45" spans="2:8">
      <c r="B45" s="13" t="s">
        <v>33</v>
      </c>
      <c r="C45" s="14">
        <v>7168.3</v>
      </c>
      <c r="D45" s="14">
        <f>C45-7168.3</f>
        <v>0</v>
      </c>
      <c r="E45" s="15">
        <f>C45/7168.3*100-100</f>
        <v>0</v>
      </c>
      <c r="F45" s="14">
        <v>4582.8</v>
      </c>
      <c r="G45" s="26">
        <f t="shared" si="1"/>
        <v>63.931476082195225</v>
      </c>
      <c r="H45" s="3"/>
    </row>
    <row r="46" spans="2:8">
      <c r="B46" s="13" t="s">
        <v>34</v>
      </c>
      <c r="C46" s="14">
        <v>14220.2</v>
      </c>
      <c r="D46" s="14">
        <f>C46-10787.9</f>
        <v>3432.3000000000011</v>
      </c>
      <c r="E46" s="15">
        <f>C46/10787.9*100-100</f>
        <v>31.816201484997094</v>
      </c>
      <c r="F46" s="14">
        <v>6464.2</v>
      </c>
      <c r="G46" s="26">
        <f t="shared" si="1"/>
        <v>45.457869790860883</v>
      </c>
      <c r="H46" s="3"/>
    </row>
    <row r="47" spans="2:8">
      <c r="B47" s="13" t="s">
        <v>35</v>
      </c>
      <c r="C47" s="14">
        <v>23074.2</v>
      </c>
      <c r="D47" s="14">
        <f>C47-15575</f>
        <v>7499.2000000000007</v>
      </c>
      <c r="E47" s="15">
        <f>C47/15575*100-100</f>
        <v>48.14895666131622</v>
      </c>
      <c r="F47" s="14">
        <v>5170.2</v>
      </c>
      <c r="G47" s="26">
        <f t="shared" si="1"/>
        <v>22.406844007592895</v>
      </c>
      <c r="H47" s="3"/>
    </row>
    <row r="48" spans="2:8" ht="30">
      <c r="B48" s="13" t="s">
        <v>36</v>
      </c>
      <c r="C48" s="14">
        <v>1689.1</v>
      </c>
      <c r="D48" s="14">
        <f>C48-1669.1</f>
        <v>20</v>
      </c>
      <c r="E48" s="15">
        <f>C48/1669.1*100-100</f>
        <v>1.1982505541908779</v>
      </c>
      <c r="F48" s="14">
        <v>1067.8</v>
      </c>
      <c r="G48" s="26">
        <f t="shared" si="1"/>
        <v>63.217097862767154</v>
      </c>
      <c r="H48" s="3"/>
    </row>
    <row r="49" spans="2:8" s="31" customFormat="1" ht="43.5">
      <c r="B49" s="8" t="s">
        <v>65</v>
      </c>
      <c r="C49" s="9">
        <v>70</v>
      </c>
      <c r="D49" s="14">
        <f>C49-70</f>
        <v>0</v>
      </c>
      <c r="E49" s="15">
        <f>C49/70*100-100</f>
        <v>0</v>
      </c>
      <c r="F49" s="9">
        <v>9</v>
      </c>
      <c r="G49" s="25">
        <f t="shared" si="1"/>
        <v>12.857142857142856</v>
      </c>
      <c r="H49" s="11"/>
    </row>
    <row r="50" spans="2:8" s="7" customFormat="1" ht="14.25">
      <c r="B50" s="8" t="s">
        <v>37</v>
      </c>
      <c r="C50" s="9">
        <f>SUM(C51:C52)</f>
        <v>1785</v>
      </c>
      <c r="D50" s="9">
        <f>SUM(D51:D52)</f>
        <v>0</v>
      </c>
      <c r="E50" s="10">
        <f>C50/1785*100-100</f>
        <v>0</v>
      </c>
      <c r="F50" s="9">
        <f>SUM(F51:F52)</f>
        <v>1237</v>
      </c>
      <c r="G50" s="25">
        <f t="shared" si="1"/>
        <v>69.299719887955177</v>
      </c>
      <c r="H50" s="11"/>
    </row>
    <row r="51" spans="2:8">
      <c r="B51" s="13" t="s">
        <v>38</v>
      </c>
      <c r="C51" s="14">
        <v>80</v>
      </c>
      <c r="D51" s="14">
        <f>C51-80</f>
        <v>0</v>
      </c>
      <c r="E51" s="15">
        <f>C51/80*100-100</f>
        <v>0</v>
      </c>
      <c r="F51" s="14">
        <v>0</v>
      </c>
      <c r="G51" s="26">
        <f t="shared" si="1"/>
        <v>0</v>
      </c>
      <c r="H51" s="3"/>
    </row>
    <row r="52" spans="2:8" ht="30">
      <c r="B52" s="13" t="s">
        <v>39</v>
      </c>
      <c r="C52" s="14">
        <v>1705</v>
      </c>
      <c r="D52" s="14">
        <f>C52-1705</f>
        <v>0</v>
      </c>
      <c r="E52" s="15">
        <f>C52/1705*100-100</f>
        <v>0</v>
      </c>
      <c r="F52" s="14">
        <v>1237</v>
      </c>
      <c r="G52" s="26">
        <f t="shared" si="1"/>
        <v>72.551319648093838</v>
      </c>
      <c r="H52" s="3"/>
    </row>
    <row r="53" spans="2:8" s="7" customFormat="1" ht="14.25">
      <c r="B53" s="8" t="s">
        <v>40</v>
      </c>
      <c r="C53" s="9">
        <f>SUM(C54:C57)</f>
        <v>4109.1000000000004</v>
      </c>
      <c r="D53" s="9">
        <f>SUM(D54:D57)</f>
        <v>334.1</v>
      </c>
      <c r="E53" s="10">
        <f>C53/3775*100-100</f>
        <v>8.8503311258278217</v>
      </c>
      <c r="F53" s="9">
        <f>SUM(F54:F57)</f>
        <v>2240</v>
      </c>
      <c r="G53" s="25">
        <f t="shared" si="1"/>
        <v>54.513153731960763</v>
      </c>
      <c r="H53" s="11"/>
    </row>
    <row r="54" spans="2:8">
      <c r="B54" s="13" t="s">
        <v>41</v>
      </c>
      <c r="C54" s="14">
        <v>1100</v>
      </c>
      <c r="D54" s="14">
        <f>C54-1100</f>
        <v>0</v>
      </c>
      <c r="E54" s="15">
        <f>C54/1100*100-100</f>
        <v>0</v>
      </c>
      <c r="F54" s="14">
        <v>688.8</v>
      </c>
      <c r="G54" s="26">
        <f t="shared" si="1"/>
        <v>62.618181818181817</v>
      </c>
      <c r="H54" s="3"/>
    </row>
    <row r="55" spans="2:8">
      <c r="B55" s="13" t="s">
        <v>42</v>
      </c>
      <c r="C55" s="14">
        <v>584.1</v>
      </c>
      <c r="D55" s="14">
        <f>C55-250</f>
        <v>334.1</v>
      </c>
      <c r="E55" s="15">
        <f>C55/250*100-100</f>
        <v>133.64000000000001</v>
      </c>
      <c r="F55" s="14">
        <v>173.4</v>
      </c>
      <c r="G55" s="26">
        <f t="shared" si="1"/>
        <v>29.68669748330765</v>
      </c>
      <c r="H55" s="3"/>
    </row>
    <row r="56" spans="2:8">
      <c r="B56" s="13" t="s">
        <v>43</v>
      </c>
      <c r="C56" s="14">
        <v>1995</v>
      </c>
      <c r="D56" s="14">
        <f>C56-1995</f>
        <v>0</v>
      </c>
      <c r="E56" s="15">
        <f>C56/1995*100-100</f>
        <v>0</v>
      </c>
      <c r="F56" s="14">
        <v>1197</v>
      </c>
      <c r="G56" s="26">
        <f t="shared" si="1"/>
        <v>60</v>
      </c>
      <c r="H56" s="3"/>
    </row>
    <row r="57" spans="2:8" ht="30">
      <c r="B57" s="13" t="s">
        <v>44</v>
      </c>
      <c r="C57" s="14">
        <v>430</v>
      </c>
      <c r="D57" s="14">
        <f>C57-430</f>
        <v>0</v>
      </c>
      <c r="E57" s="15">
        <f>C57/430*100-100</f>
        <v>0</v>
      </c>
      <c r="F57" s="14">
        <v>180.8</v>
      </c>
      <c r="G57" s="26">
        <f t="shared" si="1"/>
        <v>42.04651162790698</v>
      </c>
      <c r="H57" s="3"/>
    </row>
    <row r="58" spans="2:8" s="7" customFormat="1" ht="28.5">
      <c r="B58" s="8" t="s">
        <v>45</v>
      </c>
      <c r="C58" s="9">
        <v>100</v>
      </c>
      <c r="D58" s="9">
        <f>C58-100</f>
        <v>0</v>
      </c>
      <c r="E58" s="10">
        <f>C58/100*100-100</f>
        <v>0</v>
      </c>
      <c r="F58" s="9">
        <v>0</v>
      </c>
      <c r="G58" s="25">
        <f t="shared" si="1"/>
        <v>0</v>
      </c>
      <c r="H58" s="11"/>
    </row>
    <row r="59" spans="2:8" s="7" customFormat="1" ht="28.5">
      <c r="B59" s="8" t="s">
        <v>59</v>
      </c>
      <c r="C59" s="9">
        <v>1390</v>
      </c>
      <c r="D59" s="9">
        <f>C59-1390</f>
        <v>0</v>
      </c>
      <c r="E59" s="10">
        <f>C59/1390*100-100</f>
        <v>0</v>
      </c>
      <c r="F59" s="9">
        <v>826.7</v>
      </c>
      <c r="G59" s="25">
        <f t="shared" si="1"/>
        <v>59.474820143884898</v>
      </c>
      <c r="H59" s="11"/>
    </row>
    <row r="60" spans="2:8" s="7" customFormat="1" ht="28.5">
      <c r="B60" s="8" t="s">
        <v>60</v>
      </c>
      <c r="C60" s="9">
        <f>C62+C67+C61</f>
        <v>169450</v>
      </c>
      <c r="D60" s="9">
        <f>D62+D67</f>
        <v>1376</v>
      </c>
      <c r="E60" s="10">
        <f>C60/168074*100-100</f>
        <v>0.81868700691363472</v>
      </c>
      <c r="F60" s="9">
        <f>F62+F67+F61</f>
        <v>95624.7</v>
      </c>
      <c r="G60" s="25">
        <f t="shared" si="1"/>
        <v>56.432398937739748</v>
      </c>
      <c r="H60" s="11"/>
    </row>
    <row r="61" spans="2:8" s="7" customFormat="1" ht="29.25">
      <c r="B61" s="8" t="s">
        <v>26</v>
      </c>
      <c r="C61" s="9">
        <v>113</v>
      </c>
      <c r="D61" s="14">
        <f>C61-113</f>
        <v>0</v>
      </c>
      <c r="E61" s="10">
        <f>C61/113*100-100</f>
        <v>0</v>
      </c>
      <c r="F61" s="9">
        <v>26</v>
      </c>
      <c r="G61" s="25">
        <f t="shared" si="1"/>
        <v>23.008849557522122</v>
      </c>
      <c r="H61" s="11"/>
    </row>
    <row r="62" spans="2:8" s="7" customFormat="1" ht="14.25">
      <c r="B62" s="8" t="s">
        <v>46</v>
      </c>
      <c r="C62" s="9">
        <f>SUM(C63:C66)</f>
        <v>160420</v>
      </c>
      <c r="D62" s="9">
        <f>SUM(D63:D66)</f>
        <v>2690</v>
      </c>
      <c r="E62" s="10">
        <f>C62/157730*100-100</f>
        <v>1.7054460153426874</v>
      </c>
      <c r="F62" s="9">
        <f>SUM(F63:F66)</f>
        <v>89662.8</v>
      </c>
      <c r="G62" s="25">
        <f t="shared" si="1"/>
        <v>55.892532103229023</v>
      </c>
      <c r="H62" s="11"/>
    </row>
    <row r="63" spans="2:8">
      <c r="B63" s="13" t="s">
        <v>47</v>
      </c>
      <c r="C63" s="14">
        <v>65592</v>
      </c>
      <c r="D63" s="14">
        <f>C63-65279</f>
        <v>313</v>
      </c>
      <c r="E63" s="15">
        <f>C63/65279*100-100</f>
        <v>0.47948038419704631</v>
      </c>
      <c r="F63" s="14">
        <v>31262</v>
      </c>
      <c r="G63" s="26">
        <f t="shared" si="1"/>
        <v>47.661300158555918</v>
      </c>
      <c r="H63" s="3"/>
    </row>
    <row r="64" spans="2:8">
      <c r="B64" s="14" t="s">
        <v>48</v>
      </c>
      <c r="C64" s="14">
        <v>79256</v>
      </c>
      <c r="D64" s="14">
        <f>C64-78159</f>
        <v>1097</v>
      </c>
      <c r="E64" s="15">
        <f>C64/78159*100-100</f>
        <v>1.4035491753988651</v>
      </c>
      <c r="F64" s="14">
        <v>50211.8</v>
      </c>
      <c r="G64" s="26">
        <f t="shared" si="1"/>
        <v>63.353941657413948</v>
      </c>
      <c r="H64" s="3"/>
    </row>
    <row r="65" spans="1:8">
      <c r="B65" s="14" t="s">
        <v>49</v>
      </c>
      <c r="C65" s="14">
        <v>8538</v>
      </c>
      <c r="D65" s="14">
        <f>C65-8176</f>
        <v>362</v>
      </c>
      <c r="E65" s="15">
        <f>C65/8176*100-100</f>
        <v>4.4275929549902173</v>
      </c>
      <c r="F65" s="14">
        <v>4949.3</v>
      </c>
      <c r="G65" s="26">
        <f t="shared" si="1"/>
        <v>57.967908175216678</v>
      </c>
      <c r="H65" s="3"/>
    </row>
    <row r="66" spans="1:8">
      <c r="B66" s="14" t="s">
        <v>50</v>
      </c>
      <c r="C66" s="14">
        <v>7034</v>
      </c>
      <c r="D66" s="14">
        <f>C66-6116</f>
        <v>918</v>
      </c>
      <c r="E66" s="15">
        <f>C66/6116*100-100</f>
        <v>15.009810333551329</v>
      </c>
      <c r="F66" s="14">
        <v>3239.7</v>
      </c>
      <c r="G66" s="26">
        <f t="shared" si="1"/>
        <v>46.057719647426779</v>
      </c>
      <c r="H66" s="3"/>
    </row>
    <row r="67" spans="1:8" s="7" customFormat="1" ht="14.25">
      <c r="B67" s="9" t="s">
        <v>51</v>
      </c>
      <c r="C67" s="9">
        <f>SUM(C68:C69)</f>
        <v>8917</v>
      </c>
      <c r="D67" s="9">
        <f>SUM(D68:D69)</f>
        <v>-1314</v>
      </c>
      <c r="E67" s="10">
        <f>C67/10231*100-100</f>
        <v>-12.843319323624286</v>
      </c>
      <c r="F67" s="9">
        <f>SUM(F68:F69)</f>
        <v>5935.9</v>
      </c>
      <c r="G67" s="25">
        <f t="shared" si="1"/>
        <v>66.568352584950091</v>
      </c>
      <c r="H67" s="11"/>
    </row>
    <row r="68" spans="1:8">
      <c r="B68" s="13" t="s">
        <v>43</v>
      </c>
      <c r="C68" s="14">
        <v>8884</v>
      </c>
      <c r="D68" s="14">
        <f>C68-10198</f>
        <v>-1314</v>
      </c>
      <c r="E68" s="15">
        <f>C68/10198*100-100</f>
        <v>-12.884879388115309</v>
      </c>
      <c r="F68" s="14">
        <v>5903.5</v>
      </c>
      <c r="G68" s="26">
        <f t="shared" si="1"/>
        <v>66.450923007654211</v>
      </c>
      <c r="H68" s="3"/>
    </row>
    <row r="69" spans="1:8" ht="30">
      <c r="B69" s="13" t="s">
        <v>44</v>
      </c>
      <c r="C69" s="14">
        <v>33</v>
      </c>
      <c r="D69" s="14">
        <f>C69-33</f>
        <v>0</v>
      </c>
      <c r="E69" s="15">
        <f>C69/33*100-100</f>
        <v>0</v>
      </c>
      <c r="F69" s="14">
        <v>32.4</v>
      </c>
      <c r="G69" s="26">
        <f t="shared" si="1"/>
        <v>98.181818181818187</v>
      </c>
      <c r="H69" s="3"/>
    </row>
    <row r="70" spans="1:8" s="7" customFormat="1" ht="57">
      <c r="B70" s="8" t="s">
        <v>61</v>
      </c>
      <c r="C70" s="9">
        <f>C72+C73+C75+C71+C74</f>
        <v>33196.1</v>
      </c>
      <c r="D70" s="9">
        <f>C70-31285</f>
        <v>1911.0999999999985</v>
      </c>
      <c r="E70" s="10">
        <f>C70/31285*100-100</f>
        <v>6.1086782803260462</v>
      </c>
      <c r="F70" s="9">
        <f>F72+F73+F75+F71+F74</f>
        <v>20216.100000000002</v>
      </c>
      <c r="G70" s="25">
        <f t="shared" si="1"/>
        <v>60.899021270570955</v>
      </c>
      <c r="H70" s="11"/>
    </row>
    <row r="71" spans="1:8" s="12" customFormat="1" ht="30">
      <c r="B71" s="13" t="s">
        <v>26</v>
      </c>
      <c r="C71" s="14">
        <v>174</v>
      </c>
      <c r="D71" s="14">
        <f>C71-174</f>
        <v>0</v>
      </c>
      <c r="E71" s="15">
        <f>C71/174*100-100</f>
        <v>0</v>
      </c>
      <c r="F71" s="14">
        <v>73.400000000000006</v>
      </c>
      <c r="G71" s="26">
        <f t="shared" si="1"/>
        <v>42.183908045977013</v>
      </c>
      <c r="H71" s="3"/>
    </row>
    <row r="72" spans="1:8">
      <c r="B72" s="13" t="s">
        <v>46</v>
      </c>
      <c r="C72" s="14">
        <v>3828.1</v>
      </c>
      <c r="D72" s="14">
        <f>C72-3788</f>
        <v>40.099999999999909</v>
      </c>
      <c r="E72" s="15">
        <f>C72/3788*100-100</f>
        <v>1.0586061246039975</v>
      </c>
      <c r="F72" s="14">
        <v>2609.6</v>
      </c>
      <c r="G72" s="26">
        <f t="shared" si="1"/>
        <v>68.169588046289277</v>
      </c>
      <c r="H72" s="3"/>
    </row>
    <row r="73" spans="1:8">
      <c r="B73" s="13" t="s">
        <v>37</v>
      </c>
      <c r="C73" s="16">
        <v>17480</v>
      </c>
      <c r="D73" s="14">
        <f>C73-16659</f>
        <v>821</v>
      </c>
      <c r="E73" s="15">
        <f>C73/16659*100-100</f>
        <v>4.9282670028213005</v>
      </c>
      <c r="F73" s="16">
        <v>9825.7999999999993</v>
      </c>
      <c r="G73" s="26">
        <f t="shared" si="1"/>
        <v>56.211670480549195</v>
      </c>
      <c r="H73" s="3"/>
    </row>
    <row r="74" spans="1:8">
      <c r="B74" s="13" t="s">
        <v>40</v>
      </c>
      <c r="C74" s="16">
        <v>50</v>
      </c>
      <c r="D74" s="14">
        <f>C74-50</f>
        <v>0</v>
      </c>
      <c r="E74" s="15">
        <f>C74/50*100-100</f>
        <v>0</v>
      </c>
      <c r="F74" s="16">
        <v>49.9</v>
      </c>
      <c r="G74" s="26">
        <f t="shared" si="1"/>
        <v>99.8</v>
      </c>
      <c r="H74" s="3"/>
    </row>
    <row r="75" spans="1:8">
      <c r="B75" s="13" t="s">
        <v>52</v>
      </c>
      <c r="C75" s="16">
        <v>11664</v>
      </c>
      <c r="D75" s="14">
        <f>C75-10614</f>
        <v>1050</v>
      </c>
      <c r="E75" s="15">
        <f>C75/10614*100-100</f>
        <v>9.892594686263422</v>
      </c>
      <c r="F75" s="16">
        <v>7657.4</v>
      </c>
      <c r="G75" s="26">
        <f t="shared" si="1"/>
        <v>65.649862825788745</v>
      </c>
      <c r="H75" s="3"/>
    </row>
    <row r="76" spans="1:8" s="7" customFormat="1" ht="57">
      <c r="B76" s="8" t="s">
        <v>62</v>
      </c>
      <c r="C76" s="9">
        <f>C77+C78</f>
        <v>2428</v>
      </c>
      <c r="D76" s="9">
        <f>C76-2428</f>
        <v>0</v>
      </c>
      <c r="E76" s="10">
        <f>C76/2428*100-100</f>
        <v>0</v>
      </c>
      <c r="F76" s="9">
        <f>F77+F78</f>
        <v>1119</v>
      </c>
      <c r="G76" s="25">
        <f t="shared" si="1"/>
        <v>46.087314662273478</v>
      </c>
      <c r="H76" s="11"/>
    </row>
    <row r="77" spans="1:8">
      <c r="B77" s="13" t="s">
        <v>19</v>
      </c>
      <c r="C77" s="14">
        <v>1328</v>
      </c>
      <c r="D77" s="14">
        <f>C77-1228</f>
        <v>100</v>
      </c>
      <c r="E77" s="15">
        <f>C77/1228*100-100</f>
        <v>8.1433224755700309</v>
      </c>
      <c r="F77" s="14">
        <v>817.2</v>
      </c>
      <c r="G77" s="26">
        <f t="shared" si="1"/>
        <v>61.536144578313255</v>
      </c>
      <c r="H77" s="3"/>
    </row>
    <row r="78" spans="1:8">
      <c r="B78" s="13" t="s">
        <v>27</v>
      </c>
      <c r="C78" s="14">
        <v>1100</v>
      </c>
      <c r="D78" s="14">
        <f>C78-1200</f>
        <v>-100</v>
      </c>
      <c r="E78" s="15">
        <f>C78/1200*100-100</f>
        <v>-8.3333333333333428</v>
      </c>
      <c r="F78" s="14">
        <v>301.8</v>
      </c>
      <c r="G78" s="26">
        <f>F78/C78*100</f>
        <v>27.436363636363637</v>
      </c>
      <c r="H78" s="3"/>
    </row>
    <row r="79" spans="1:8" ht="57.75" customHeight="1">
      <c r="A79" s="31"/>
      <c r="B79" s="8" t="s">
        <v>66</v>
      </c>
      <c r="C79" s="9">
        <v>842</v>
      </c>
      <c r="D79" s="9">
        <f>C79-842</f>
        <v>0</v>
      </c>
      <c r="E79" s="10">
        <f>C79/842*100-100</f>
        <v>0</v>
      </c>
      <c r="F79" s="9">
        <v>590.9</v>
      </c>
      <c r="G79" s="25">
        <f t="shared" ref="G79:G80" si="2">F79/C79*100</f>
        <v>70.178147268408551</v>
      </c>
      <c r="H79" s="3"/>
    </row>
    <row r="80" spans="1:8" ht="29.25">
      <c r="A80" s="31"/>
      <c r="B80" s="8" t="s">
        <v>67</v>
      </c>
      <c r="C80" s="9">
        <v>1252</v>
      </c>
      <c r="D80" s="9">
        <f>C80-1252</f>
        <v>0</v>
      </c>
      <c r="E80" s="10">
        <f>C80/1252*100-100</f>
        <v>0</v>
      </c>
      <c r="F80" s="9">
        <v>506.7</v>
      </c>
      <c r="G80" s="25">
        <f t="shared" si="2"/>
        <v>40.471246006389777</v>
      </c>
      <c r="H80" s="3"/>
    </row>
    <row r="81" spans="2:8" s="7" customFormat="1" ht="14.25">
      <c r="B81" s="8" t="s">
        <v>53</v>
      </c>
      <c r="C81" s="9">
        <f>C29+C30+C59+C60+C70+C76+C79+C80</f>
        <v>303692.5</v>
      </c>
      <c r="D81" s="9">
        <f>D29+D30+D59+D60+D70+D76+D79+D80</f>
        <v>15803.300000000001</v>
      </c>
      <c r="E81" s="10">
        <f>C81/287889.2*100-100</f>
        <v>5.4893688266180192</v>
      </c>
      <c r="F81" s="9">
        <f>F29+F30+F59+F60+F70+F76+F79+F80</f>
        <v>156017.40000000002</v>
      </c>
      <c r="G81" s="25">
        <f t="shared" si="1"/>
        <v>51.373478106966765</v>
      </c>
      <c r="H81" s="11"/>
    </row>
    <row r="82" spans="2:8">
      <c r="B82" s="27"/>
      <c r="C82" s="28"/>
      <c r="D82" s="29"/>
      <c r="E82" s="28"/>
    </row>
    <row r="83" spans="2:8">
      <c r="B83" s="27"/>
      <c r="C83" s="28"/>
      <c r="D83" s="29"/>
      <c r="E83" s="28"/>
    </row>
    <row r="84" spans="2:8">
      <c r="B84" s="27"/>
      <c r="C84" s="28"/>
      <c r="D84" s="29"/>
      <c r="E84" s="28"/>
    </row>
    <row r="85" spans="2:8">
      <c r="B85" s="27"/>
      <c r="C85" s="28"/>
      <c r="D85" s="29"/>
      <c r="E85" s="28"/>
    </row>
    <row r="86" spans="2:8">
      <c r="B86" s="27"/>
      <c r="C86" s="28"/>
      <c r="D86" s="29"/>
      <c r="E86" s="28"/>
    </row>
    <row r="87" spans="2:8">
      <c r="B87" s="27"/>
      <c r="C87" s="28"/>
      <c r="D87" s="29"/>
      <c r="E87" s="28"/>
    </row>
    <row r="88" spans="2:8">
      <c r="B88" s="27"/>
      <c r="C88" s="28"/>
      <c r="D88" s="29"/>
      <c r="E88" s="28"/>
    </row>
    <row r="89" spans="2:8">
      <c r="B89" s="27"/>
      <c r="C89" s="28"/>
      <c r="D89" s="29"/>
      <c r="E89" s="28"/>
    </row>
    <row r="90" spans="2:8">
      <c r="B90" s="27"/>
      <c r="C90" s="28"/>
      <c r="D90" s="29"/>
      <c r="E90" s="28"/>
    </row>
  </sheetData>
  <mergeCells count="2">
    <mergeCell ref="F1:G1"/>
    <mergeCell ref="F23:G23"/>
  </mergeCells>
  <pageMargins left="0.7" right="0.7" top="0.75" bottom="0.75" header="0.3" footer="0.3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Q45"/>
  <sheetViews>
    <sheetView tabSelected="1" topLeftCell="A28" workbookViewId="0">
      <selection activeCell="K37" sqref="K37"/>
    </sheetView>
  </sheetViews>
  <sheetFormatPr defaultRowHeight="15"/>
  <cols>
    <col min="1" max="1" width="32.28515625" style="1" customWidth="1"/>
    <col min="2" max="9" width="12.7109375" style="12" customWidth="1"/>
    <col min="10" max="10" width="9.140625" style="12"/>
    <col min="11" max="11" width="9.140625" style="1"/>
    <col min="12" max="12" width="9.140625" style="30"/>
    <col min="13" max="16384" width="9.140625" style="1"/>
  </cols>
  <sheetData>
    <row r="2" spans="1:17" ht="15.75">
      <c r="A2" s="93" t="s">
        <v>68</v>
      </c>
      <c r="B2" s="94"/>
      <c r="C2" s="94"/>
      <c r="D2" s="94"/>
      <c r="E2" s="94"/>
      <c r="F2" s="94"/>
      <c r="G2" s="94"/>
      <c r="H2" s="94"/>
      <c r="I2" s="94"/>
      <c r="J2" s="79"/>
      <c r="K2" s="79"/>
      <c r="L2" s="4"/>
      <c r="M2" s="3"/>
      <c r="N2" s="3"/>
      <c r="O2" s="3"/>
      <c r="P2" s="3"/>
    </row>
    <row r="3" spans="1:17" ht="15.75" thickBot="1">
      <c r="A3" s="3"/>
      <c r="B3" s="3"/>
      <c r="C3" s="3"/>
      <c r="D3" s="3"/>
      <c r="E3" s="3"/>
      <c r="F3" s="3"/>
      <c r="G3" s="3"/>
      <c r="H3" s="3"/>
      <c r="I3" s="3"/>
      <c r="J3" s="3"/>
      <c r="K3" s="18"/>
      <c r="L3" s="19"/>
      <c r="M3" s="18"/>
      <c r="N3" s="18"/>
      <c r="O3" s="18"/>
      <c r="P3" s="18"/>
      <c r="Q3" s="28"/>
    </row>
    <row r="4" spans="1:17">
      <c r="A4" s="88" t="s">
        <v>0</v>
      </c>
      <c r="B4" s="90" t="s">
        <v>69</v>
      </c>
      <c r="C4" s="91"/>
      <c r="D4" s="91"/>
      <c r="E4" s="92"/>
      <c r="F4" s="90" t="s">
        <v>70</v>
      </c>
      <c r="G4" s="91"/>
      <c r="H4" s="91"/>
      <c r="I4" s="92"/>
      <c r="J4" s="32"/>
      <c r="K4" s="28"/>
      <c r="L4" s="29"/>
      <c r="M4" s="28"/>
      <c r="N4" s="28"/>
      <c r="O4" s="28"/>
      <c r="P4" s="18"/>
      <c r="Q4" s="28"/>
    </row>
    <row r="5" spans="1:17" s="7" customFormat="1" ht="13.5" thickBot="1">
      <c r="A5" s="89"/>
      <c r="B5" s="33" t="s">
        <v>71</v>
      </c>
      <c r="C5" s="34" t="s">
        <v>72</v>
      </c>
      <c r="D5" s="68" t="s">
        <v>73</v>
      </c>
      <c r="E5" s="74" t="s">
        <v>100</v>
      </c>
      <c r="F5" s="35" t="s">
        <v>71</v>
      </c>
      <c r="G5" s="34" t="s">
        <v>72</v>
      </c>
      <c r="H5" s="68" t="s">
        <v>73</v>
      </c>
      <c r="I5" s="74" t="s">
        <v>100</v>
      </c>
      <c r="J5" s="36"/>
      <c r="K5" s="36"/>
      <c r="L5" s="58"/>
      <c r="M5" s="36"/>
      <c r="N5" s="36"/>
      <c r="O5" s="36"/>
      <c r="P5" s="59"/>
      <c r="Q5" s="60"/>
    </row>
    <row r="6" spans="1:17" s="42" customFormat="1" ht="23.25" customHeight="1" thickBot="1">
      <c r="A6" s="37" t="s">
        <v>74</v>
      </c>
      <c r="B6" s="38">
        <f t="shared" ref="B6:I6" si="0">B7+B9+B13+B17+B20</f>
        <v>107712</v>
      </c>
      <c r="C6" s="39">
        <f t="shared" si="0"/>
        <v>113108</v>
      </c>
      <c r="D6" s="69">
        <f t="shared" si="0"/>
        <v>105074.9</v>
      </c>
      <c r="E6" s="40">
        <f t="shared" si="0"/>
        <v>114807.3</v>
      </c>
      <c r="F6" s="38">
        <f t="shared" si="0"/>
        <v>47707.299999999996</v>
      </c>
      <c r="G6" s="39">
        <f t="shared" si="0"/>
        <v>50173.3</v>
      </c>
      <c r="H6" s="69">
        <f t="shared" si="0"/>
        <v>59391.700000000004</v>
      </c>
      <c r="I6" s="40">
        <f t="shared" si="0"/>
        <v>66387.299999999988</v>
      </c>
      <c r="J6" s="41"/>
      <c r="K6" s="61"/>
      <c r="L6" s="61"/>
      <c r="M6" s="62"/>
      <c r="N6" s="61"/>
      <c r="O6" s="62"/>
      <c r="P6" s="61"/>
      <c r="Q6" s="61"/>
    </row>
    <row r="7" spans="1:17" s="46" customFormat="1" ht="17.25" customHeight="1">
      <c r="A7" s="43" t="s">
        <v>4</v>
      </c>
      <c r="B7" s="44">
        <f t="shared" ref="B7:I7" si="1">B8</f>
        <v>98370</v>
      </c>
      <c r="C7" s="23">
        <f t="shared" si="1"/>
        <v>101651</v>
      </c>
      <c r="D7" s="70">
        <f t="shared" si="1"/>
        <v>93950</v>
      </c>
      <c r="E7" s="80">
        <f t="shared" si="1"/>
        <v>103788.5</v>
      </c>
      <c r="F7" s="44">
        <f t="shared" si="1"/>
        <v>43738.7</v>
      </c>
      <c r="G7" s="23">
        <f t="shared" si="1"/>
        <v>45762.8</v>
      </c>
      <c r="H7" s="23">
        <f t="shared" si="1"/>
        <v>53484.9</v>
      </c>
      <c r="I7" s="80">
        <f t="shared" si="1"/>
        <v>62279.6</v>
      </c>
      <c r="J7" s="45"/>
      <c r="K7" s="63"/>
      <c r="L7" s="63"/>
      <c r="M7" s="64"/>
      <c r="N7" s="63"/>
      <c r="O7" s="64"/>
      <c r="P7" s="63"/>
      <c r="Q7" s="63"/>
    </row>
    <row r="8" spans="1:17" s="50" customFormat="1">
      <c r="A8" s="47" t="s">
        <v>75</v>
      </c>
      <c r="B8" s="48">
        <v>98370</v>
      </c>
      <c r="C8" s="13">
        <v>101651</v>
      </c>
      <c r="D8" s="71">
        <v>93950</v>
      </c>
      <c r="E8" s="81">
        <v>103788.5</v>
      </c>
      <c r="F8" s="48">
        <v>43738.7</v>
      </c>
      <c r="G8" s="13">
        <v>45762.8</v>
      </c>
      <c r="H8" s="71">
        <v>53484.9</v>
      </c>
      <c r="I8" s="81">
        <v>62279.6</v>
      </c>
      <c r="J8" s="49"/>
      <c r="K8" s="65"/>
      <c r="L8" s="65"/>
      <c r="M8" s="66"/>
      <c r="N8" s="65"/>
      <c r="O8" s="66"/>
      <c r="P8" s="65"/>
      <c r="Q8" s="65"/>
    </row>
    <row r="9" spans="1:17" s="46" customFormat="1" ht="42.75" customHeight="1">
      <c r="A9" s="51" t="s">
        <v>5</v>
      </c>
      <c r="B9" s="52">
        <f t="shared" ref="B9:I9" si="2">B10+B12+B11</f>
        <v>2193</v>
      </c>
      <c r="C9" s="8">
        <f t="shared" si="2"/>
        <v>3641</v>
      </c>
      <c r="D9" s="72">
        <f t="shared" si="2"/>
        <v>2722.9</v>
      </c>
      <c r="E9" s="82">
        <f t="shared" si="2"/>
        <v>2685.7</v>
      </c>
      <c r="F9" s="52">
        <f t="shared" si="2"/>
        <v>762.2</v>
      </c>
      <c r="G9" s="8">
        <f t="shared" si="2"/>
        <v>1152.5</v>
      </c>
      <c r="H9" s="8">
        <f t="shared" si="2"/>
        <v>1474</v>
      </c>
      <c r="I9" s="82">
        <f t="shared" si="2"/>
        <v>1353.2</v>
      </c>
      <c r="J9" s="45"/>
      <c r="K9" s="63"/>
      <c r="L9" s="63"/>
      <c r="M9" s="64"/>
      <c r="N9" s="63"/>
      <c r="O9" s="64"/>
      <c r="P9" s="63"/>
      <c r="Q9" s="63"/>
    </row>
    <row r="10" spans="1:17" s="50" customFormat="1" ht="30.75" customHeight="1">
      <c r="A10" s="47" t="s">
        <v>76</v>
      </c>
      <c r="B10" s="48">
        <v>875</v>
      </c>
      <c r="C10" s="13">
        <v>1254</v>
      </c>
      <c r="D10" s="71">
        <v>925.7</v>
      </c>
      <c r="E10" s="81">
        <v>917.1</v>
      </c>
      <c r="F10" s="48">
        <v>301</v>
      </c>
      <c r="G10" s="13">
        <v>374.8</v>
      </c>
      <c r="H10" s="71">
        <v>501.3</v>
      </c>
      <c r="I10" s="81">
        <v>534.4</v>
      </c>
      <c r="J10" s="49"/>
      <c r="K10" s="65"/>
      <c r="L10" s="65"/>
      <c r="M10" s="66"/>
      <c r="N10" s="65"/>
      <c r="O10" s="66"/>
      <c r="P10" s="65"/>
      <c r="Q10" s="65"/>
    </row>
    <row r="11" spans="1:17" s="50" customFormat="1" ht="34.5" customHeight="1">
      <c r="A11" s="47" t="s">
        <v>77</v>
      </c>
      <c r="B11" s="48">
        <v>11</v>
      </c>
      <c r="C11" s="13">
        <v>32</v>
      </c>
      <c r="D11" s="71">
        <v>27</v>
      </c>
      <c r="E11" s="81">
        <v>9.1</v>
      </c>
      <c r="F11" s="48">
        <v>6</v>
      </c>
      <c r="G11" s="13">
        <v>10.5</v>
      </c>
      <c r="H11" s="71">
        <v>8.3000000000000007</v>
      </c>
      <c r="I11" s="81">
        <v>5.8</v>
      </c>
      <c r="J11" s="49"/>
      <c r="K11" s="65"/>
      <c r="L11" s="65"/>
      <c r="M11" s="66"/>
      <c r="N11" s="65"/>
      <c r="O11" s="66"/>
      <c r="P11" s="65"/>
      <c r="Q11" s="65"/>
    </row>
    <row r="12" spans="1:17" s="50" customFormat="1" ht="30" customHeight="1">
      <c r="A12" s="47" t="s">
        <v>78</v>
      </c>
      <c r="B12" s="48">
        <f>(1306+1)</f>
        <v>1307</v>
      </c>
      <c r="C12" s="13">
        <f>(2354+1)</f>
        <v>2355</v>
      </c>
      <c r="D12" s="71">
        <f>(1769.2+1)</f>
        <v>1770.2</v>
      </c>
      <c r="E12" s="81">
        <f>(1758.5+1)</f>
        <v>1759.5</v>
      </c>
      <c r="F12" s="48">
        <v>455.2</v>
      </c>
      <c r="G12" s="13">
        <f>(799.3-32.1)</f>
        <v>767.19999999999993</v>
      </c>
      <c r="H12" s="71">
        <f>(1043.3-78.9)</f>
        <v>964.4</v>
      </c>
      <c r="I12" s="81">
        <f>(921.4-108.4)</f>
        <v>813</v>
      </c>
      <c r="J12" s="49"/>
      <c r="K12" s="65"/>
      <c r="L12" s="65"/>
      <c r="M12" s="66"/>
      <c r="N12" s="65"/>
      <c r="O12" s="66"/>
      <c r="P12" s="65"/>
      <c r="Q12" s="65"/>
    </row>
    <row r="13" spans="1:17" s="46" customFormat="1" ht="14.25" customHeight="1">
      <c r="A13" s="51" t="s">
        <v>6</v>
      </c>
      <c r="B13" s="52">
        <f t="shared" ref="B13:I13" si="3">B14+B15+B16</f>
        <v>2667</v>
      </c>
      <c r="C13" s="8">
        <f t="shared" si="3"/>
        <v>2259</v>
      </c>
      <c r="D13" s="72">
        <f t="shared" si="3"/>
        <v>2143</v>
      </c>
      <c r="E13" s="82">
        <f t="shared" si="3"/>
        <v>2181</v>
      </c>
      <c r="F13" s="52">
        <f t="shared" si="3"/>
        <v>925.3</v>
      </c>
      <c r="G13" s="8">
        <f t="shared" si="3"/>
        <v>1082.9000000000001</v>
      </c>
      <c r="H13" s="8">
        <f t="shared" si="3"/>
        <v>1056</v>
      </c>
      <c r="I13" s="82">
        <f t="shared" si="3"/>
        <v>1003</v>
      </c>
      <c r="J13" s="45"/>
      <c r="K13" s="63"/>
      <c r="L13" s="63"/>
      <c r="M13" s="64"/>
      <c r="N13" s="63"/>
      <c r="O13" s="64"/>
      <c r="P13" s="63"/>
      <c r="Q13" s="63"/>
    </row>
    <row r="14" spans="1:17" s="50" customFormat="1" ht="42.75" customHeight="1">
      <c r="A14" s="47" t="s">
        <v>79</v>
      </c>
      <c r="B14" s="48">
        <v>2645</v>
      </c>
      <c r="C14" s="13">
        <v>2245</v>
      </c>
      <c r="D14" s="71">
        <v>2111</v>
      </c>
      <c r="E14" s="81">
        <v>2161</v>
      </c>
      <c r="F14" s="48">
        <v>909.8</v>
      </c>
      <c r="G14" s="13">
        <v>1064.9000000000001</v>
      </c>
      <c r="H14" s="71">
        <v>1039.4000000000001</v>
      </c>
      <c r="I14" s="81">
        <v>984.2</v>
      </c>
      <c r="J14" s="49"/>
      <c r="K14" s="65"/>
      <c r="L14" s="65"/>
      <c r="M14" s="66"/>
      <c r="N14" s="65"/>
      <c r="O14" s="66"/>
      <c r="P14" s="65"/>
      <c r="Q14" s="65"/>
    </row>
    <row r="15" spans="1:17" s="50" customFormat="1" ht="31.5" customHeight="1">
      <c r="A15" s="47" t="s">
        <v>80</v>
      </c>
      <c r="B15" s="48">
        <v>2</v>
      </c>
      <c r="C15" s="13">
        <v>2</v>
      </c>
      <c r="D15" s="71">
        <v>20</v>
      </c>
      <c r="E15" s="81">
        <v>20</v>
      </c>
      <c r="F15" s="48">
        <v>8.1999999999999993</v>
      </c>
      <c r="G15" s="13">
        <v>18</v>
      </c>
      <c r="H15" s="71">
        <v>16.600000000000001</v>
      </c>
      <c r="I15" s="81">
        <v>18.8</v>
      </c>
      <c r="J15" s="49"/>
      <c r="K15" s="65"/>
      <c r="L15" s="65"/>
      <c r="M15" s="66"/>
      <c r="N15" s="65"/>
      <c r="O15" s="66"/>
      <c r="P15" s="65"/>
      <c r="Q15" s="65"/>
    </row>
    <row r="16" spans="1:17" s="50" customFormat="1" ht="45" customHeight="1">
      <c r="A16" s="47" t="s">
        <v>81</v>
      </c>
      <c r="B16" s="48">
        <v>20</v>
      </c>
      <c r="C16" s="13">
        <v>12</v>
      </c>
      <c r="D16" s="71">
        <v>12</v>
      </c>
      <c r="E16" s="83">
        <v>0</v>
      </c>
      <c r="F16" s="85">
        <v>7.3</v>
      </c>
      <c r="G16" s="76">
        <v>0</v>
      </c>
      <c r="H16" s="77">
        <v>0</v>
      </c>
      <c r="I16" s="83">
        <v>0</v>
      </c>
      <c r="J16" s="49"/>
      <c r="K16" s="65"/>
      <c r="L16" s="65"/>
      <c r="M16" s="66"/>
      <c r="N16" s="65"/>
      <c r="O16" s="66"/>
      <c r="P16" s="65"/>
      <c r="Q16" s="65"/>
    </row>
    <row r="17" spans="1:17" s="46" customFormat="1" ht="15.75" customHeight="1">
      <c r="A17" s="51" t="s">
        <v>7</v>
      </c>
      <c r="B17" s="52">
        <f t="shared" ref="B17:I17" si="4">B18+B19</f>
        <v>4107</v>
      </c>
      <c r="C17" s="8">
        <f t="shared" si="4"/>
        <v>4507</v>
      </c>
      <c r="D17" s="72">
        <f t="shared" si="4"/>
        <v>4259</v>
      </c>
      <c r="E17" s="82">
        <f t="shared" si="4"/>
        <v>4425.1000000000004</v>
      </c>
      <c r="F17" s="52">
        <f t="shared" si="4"/>
        <v>1643.1</v>
      </c>
      <c r="G17" s="8">
        <f t="shared" si="4"/>
        <v>1130.2</v>
      </c>
      <c r="H17" s="8">
        <f t="shared" si="4"/>
        <v>2528</v>
      </c>
      <c r="I17" s="82">
        <f t="shared" si="4"/>
        <v>1096.8</v>
      </c>
      <c r="J17" s="45"/>
      <c r="K17" s="63"/>
      <c r="L17" s="63"/>
      <c r="M17" s="64"/>
      <c r="N17" s="63"/>
      <c r="O17" s="64"/>
      <c r="P17" s="63"/>
      <c r="Q17" s="63"/>
    </row>
    <row r="18" spans="1:17" s="50" customFormat="1" ht="21" customHeight="1">
      <c r="A18" s="47" t="s">
        <v>82</v>
      </c>
      <c r="B18" s="48">
        <v>220</v>
      </c>
      <c r="C18" s="13">
        <v>420</v>
      </c>
      <c r="D18" s="71">
        <v>429</v>
      </c>
      <c r="E18" s="81">
        <v>444</v>
      </c>
      <c r="F18" s="48">
        <v>57</v>
      </c>
      <c r="G18" s="13">
        <v>67.5</v>
      </c>
      <c r="H18" s="71">
        <v>9.3000000000000007</v>
      </c>
      <c r="I18" s="81">
        <v>71.099999999999994</v>
      </c>
      <c r="J18" s="49"/>
      <c r="K18" s="65"/>
      <c r="L18" s="65"/>
      <c r="M18" s="66"/>
      <c r="N18" s="65"/>
      <c r="O18" s="66"/>
      <c r="P18" s="65"/>
      <c r="Q18" s="65"/>
    </row>
    <row r="19" spans="1:17" s="50" customFormat="1" ht="21" customHeight="1">
      <c r="A19" s="47" t="s">
        <v>83</v>
      </c>
      <c r="B19" s="48">
        <v>3887</v>
      </c>
      <c r="C19" s="13">
        <v>4087</v>
      </c>
      <c r="D19" s="71">
        <v>3830</v>
      </c>
      <c r="E19" s="81">
        <v>3981.1</v>
      </c>
      <c r="F19" s="48">
        <v>1586.1</v>
      </c>
      <c r="G19" s="13">
        <v>1062.7</v>
      </c>
      <c r="H19" s="71">
        <v>2518.6999999999998</v>
      </c>
      <c r="I19" s="81">
        <v>1025.7</v>
      </c>
      <c r="J19" s="49"/>
      <c r="K19" s="65"/>
      <c r="L19" s="65"/>
      <c r="M19" s="66"/>
      <c r="N19" s="65"/>
      <c r="O19" s="66"/>
      <c r="P19" s="65"/>
      <c r="Q19" s="65"/>
    </row>
    <row r="20" spans="1:17" s="46" customFormat="1" ht="20.25" customHeight="1">
      <c r="A20" s="51" t="s">
        <v>8</v>
      </c>
      <c r="B20" s="52">
        <v>375</v>
      </c>
      <c r="C20" s="8">
        <v>1050</v>
      </c>
      <c r="D20" s="72">
        <v>2000</v>
      </c>
      <c r="E20" s="82">
        <v>1727</v>
      </c>
      <c r="F20" s="52">
        <v>638</v>
      </c>
      <c r="G20" s="8">
        <v>1044.9000000000001</v>
      </c>
      <c r="H20" s="72">
        <v>848.8</v>
      </c>
      <c r="I20" s="82">
        <v>654.70000000000005</v>
      </c>
      <c r="J20" s="45"/>
      <c r="K20" s="63"/>
      <c r="L20" s="63"/>
      <c r="M20" s="64"/>
      <c r="N20" s="63"/>
      <c r="O20" s="64"/>
      <c r="P20" s="63"/>
      <c r="Q20" s="63"/>
    </row>
    <row r="21" spans="1:17" s="50" customFormat="1" ht="58.5" customHeight="1" thickBot="1">
      <c r="A21" s="75" t="s">
        <v>57</v>
      </c>
      <c r="B21" s="55"/>
      <c r="C21" s="56"/>
      <c r="D21" s="73"/>
      <c r="E21" s="84"/>
      <c r="F21" s="55"/>
      <c r="G21" s="56"/>
      <c r="H21" s="73">
        <v>0.1</v>
      </c>
      <c r="I21" s="84"/>
      <c r="J21" s="49"/>
      <c r="K21" s="65"/>
      <c r="L21" s="65"/>
      <c r="M21" s="66"/>
      <c r="N21" s="65"/>
      <c r="O21" s="66"/>
      <c r="P21" s="65"/>
      <c r="Q21" s="65"/>
    </row>
    <row r="22" spans="1:17" s="42" customFormat="1" ht="37.5" customHeight="1" thickBot="1">
      <c r="A22" s="37" t="s">
        <v>84</v>
      </c>
      <c r="B22" s="38">
        <f t="shared" ref="B22:I22" si="5">B23+B27+B32+B33+B37+B38</f>
        <v>25557</v>
      </c>
      <c r="C22" s="39">
        <f t="shared" si="5"/>
        <v>26856</v>
      </c>
      <c r="D22" s="69">
        <f t="shared" si="5"/>
        <v>23512.1</v>
      </c>
      <c r="E22" s="40">
        <f t="shared" si="5"/>
        <v>33466.799999999996</v>
      </c>
      <c r="F22" s="38">
        <f t="shared" si="5"/>
        <v>10531.6</v>
      </c>
      <c r="G22" s="39">
        <f t="shared" si="5"/>
        <v>8683.5999999999985</v>
      </c>
      <c r="H22" s="69">
        <f t="shared" si="5"/>
        <v>5376.9</v>
      </c>
      <c r="I22" s="40">
        <f t="shared" si="5"/>
        <v>13893.7</v>
      </c>
      <c r="J22" s="41"/>
      <c r="K22" s="61"/>
      <c r="L22" s="61"/>
      <c r="M22" s="62"/>
      <c r="N22" s="61"/>
      <c r="O22" s="62"/>
      <c r="P22" s="61"/>
      <c r="Q22" s="61"/>
    </row>
    <row r="23" spans="1:17" s="46" customFormat="1" ht="57.75" customHeight="1">
      <c r="A23" s="78" t="s">
        <v>9</v>
      </c>
      <c r="B23" s="44">
        <f>B24+B25</f>
        <v>11424</v>
      </c>
      <c r="C23" s="23">
        <f>C24+C25</f>
        <v>10277</v>
      </c>
      <c r="D23" s="23">
        <f>D24+D25</f>
        <v>10050</v>
      </c>
      <c r="E23" s="80">
        <f>E24+E25</f>
        <v>10207</v>
      </c>
      <c r="F23" s="44">
        <f>F24+F25+F26</f>
        <v>4643.7000000000007</v>
      </c>
      <c r="G23" s="23">
        <f>G24+G25+G26</f>
        <v>5313.0999999999995</v>
      </c>
      <c r="H23" s="23">
        <f>H24+H25+H26</f>
        <v>4196.2</v>
      </c>
      <c r="I23" s="80">
        <f>I24+I25+I26</f>
        <v>4387.5</v>
      </c>
      <c r="J23" s="45"/>
      <c r="K23" s="63"/>
      <c r="L23" s="63"/>
      <c r="M23" s="64"/>
      <c r="N23" s="63"/>
      <c r="O23" s="64"/>
      <c r="P23" s="63"/>
      <c r="Q23" s="63"/>
    </row>
    <row r="24" spans="1:17" s="50" customFormat="1" ht="35.25" customHeight="1">
      <c r="A24" s="47" t="s">
        <v>85</v>
      </c>
      <c r="B24" s="48">
        <v>11024</v>
      </c>
      <c r="C24" s="13">
        <v>9877</v>
      </c>
      <c r="D24" s="71">
        <v>9650</v>
      </c>
      <c r="E24" s="81">
        <v>10131</v>
      </c>
      <c r="F24" s="48">
        <v>4431.6000000000004</v>
      </c>
      <c r="G24" s="13">
        <v>5294.2</v>
      </c>
      <c r="H24" s="71">
        <v>4175.8</v>
      </c>
      <c r="I24" s="81">
        <v>4372.5</v>
      </c>
      <c r="J24" s="49"/>
      <c r="K24" s="65"/>
      <c r="L24" s="65"/>
      <c r="M24" s="66"/>
      <c r="N24" s="65"/>
      <c r="O24" s="66"/>
      <c r="P24" s="65"/>
      <c r="Q24" s="65"/>
    </row>
    <row r="25" spans="1:17" s="50" customFormat="1" ht="21.75" customHeight="1">
      <c r="A25" s="47" t="s">
        <v>86</v>
      </c>
      <c r="B25" s="48">
        <v>400</v>
      </c>
      <c r="C25" s="13">
        <v>400</v>
      </c>
      <c r="D25" s="71">
        <v>400</v>
      </c>
      <c r="E25" s="81">
        <v>76</v>
      </c>
      <c r="F25" s="48">
        <v>115</v>
      </c>
      <c r="G25" s="13">
        <v>0</v>
      </c>
      <c r="H25" s="71">
        <v>20.399999999999999</v>
      </c>
      <c r="I25" s="81">
        <v>15</v>
      </c>
      <c r="J25" s="49"/>
      <c r="K25" s="65"/>
      <c r="L25" s="65"/>
      <c r="M25" s="66"/>
      <c r="N25" s="65"/>
      <c r="O25" s="66"/>
      <c r="P25" s="65"/>
      <c r="Q25" s="65"/>
    </row>
    <row r="26" spans="1:17" s="50" customFormat="1" ht="20.25" customHeight="1">
      <c r="A26" s="47" t="s">
        <v>87</v>
      </c>
      <c r="B26" s="48"/>
      <c r="C26" s="13"/>
      <c r="D26" s="71"/>
      <c r="E26" s="81"/>
      <c r="F26" s="48">
        <v>97.1</v>
      </c>
      <c r="G26" s="13">
        <v>18.899999999999999</v>
      </c>
      <c r="H26" s="71"/>
      <c r="I26" s="81"/>
      <c r="J26" s="49"/>
      <c r="K26" s="65"/>
      <c r="L26" s="65"/>
      <c r="M26" s="66"/>
      <c r="N26" s="65"/>
      <c r="O26" s="66"/>
      <c r="P26" s="65"/>
      <c r="Q26" s="65"/>
    </row>
    <row r="27" spans="1:17" s="46" customFormat="1" ht="31.5" customHeight="1">
      <c r="A27" s="51" t="s">
        <v>10</v>
      </c>
      <c r="B27" s="52">
        <f t="shared" ref="B27:I27" si="6">B28+B29+B30+B31</f>
        <v>11405</v>
      </c>
      <c r="C27" s="8">
        <f t="shared" si="6"/>
        <v>14242</v>
      </c>
      <c r="D27" s="8">
        <f t="shared" si="6"/>
        <v>11937</v>
      </c>
      <c r="E27" s="82">
        <f t="shared" si="6"/>
        <v>15920.1</v>
      </c>
      <c r="F27" s="52">
        <f t="shared" si="6"/>
        <v>5286.6</v>
      </c>
      <c r="G27" s="8">
        <f t="shared" si="6"/>
        <v>2862.5</v>
      </c>
      <c r="H27" s="8">
        <f t="shared" si="6"/>
        <v>198.3</v>
      </c>
      <c r="I27" s="82">
        <f t="shared" si="6"/>
        <v>3555</v>
      </c>
      <c r="J27" s="45"/>
      <c r="K27" s="63"/>
      <c r="L27" s="63"/>
      <c r="M27" s="64"/>
      <c r="N27" s="63"/>
      <c r="O27" s="64"/>
      <c r="P27" s="63"/>
      <c r="Q27" s="63"/>
    </row>
    <row r="28" spans="1:17" s="50" customFormat="1" ht="33" customHeight="1">
      <c r="A28" s="47" t="s">
        <v>88</v>
      </c>
      <c r="B28" s="48">
        <v>455</v>
      </c>
      <c r="C28" s="13">
        <v>655</v>
      </c>
      <c r="D28" s="71">
        <v>150</v>
      </c>
      <c r="E28" s="81">
        <v>150</v>
      </c>
      <c r="F28" s="48">
        <v>100.3</v>
      </c>
      <c r="G28" s="13">
        <v>77.099999999999994</v>
      </c>
      <c r="H28" s="71">
        <v>65</v>
      </c>
      <c r="I28" s="81">
        <v>30</v>
      </c>
      <c r="J28" s="49"/>
      <c r="K28" s="65"/>
      <c r="L28" s="65"/>
      <c r="M28" s="66"/>
      <c r="N28" s="65"/>
      <c r="O28" s="66"/>
      <c r="P28" s="65"/>
      <c r="Q28" s="65"/>
    </row>
    <row r="29" spans="1:17" s="50" customFormat="1" ht="30.75" customHeight="1">
      <c r="A29" s="47" t="s">
        <v>89</v>
      </c>
      <c r="B29" s="48">
        <v>200</v>
      </c>
      <c r="C29" s="13">
        <v>267</v>
      </c>
      <c r="D29" s="71">
        <v>57</v>
      </c>
      <c r="E29" s="81">
        <v>0.1</v>
      </c>
      <c r="F29" s="48">
        <v>31.2</v>
      </c>
      <c r="G29" s="13">
        <v>25.3</v>
      </c>
      <c r="H29" s="71">
        <v>0</v>
      </c>
      <c r="I29" s="81"/>
      <c r="J29" s="49"/>
      <c r="K29" s="65"/>
      <c r="L29" s="65"/>
      <c r="M29" s="66"/>
      <c r="N29" s="65"/>
      <c r="O29" s="66"/>
      <c r="P29" s="65"/>
      <c r="Q29" s="65"/>
    </row>
    <row r="30" spans="1:17" s="50" customFormat="1" ht="22.5" customHeight="1">
      <c r="A30" s="47" t="s">
        <v>90</v>
      </c>
      <c r="B30" s="48">
        <v>50</v>
      </c>
      <c r="C30" s="13">
        <v>70</v>
      </c>
      <c r="D30" s="71">
        <v>30</v>
      </c>
      <c r="E30" s="81">
        <v>6</v>
      </c>
      <c r="F30" s="48">
        <v>0.5</v>
      </c>
      <c r="G30" s="13">
        <v>2.2999999999999998</v>
      </c>
      <c r="H30" s="71">
        <v>2.4</v>
      </c>
      <c r="I30" s="81">
        <v>0.2</v>
      </c>
      <c r="J30" s="49"/>
      <c r="K30" s="65"/>
      <c r="L30" s="65"/>
      <c r="M30" s="66"/>
      <c r="N30" s="65"/>
      <c r="O30" s="66"/>
      <c r="P30" s="65"/>
      <c r="Q30" s="65"/>
    </row>
    <row r="31" spans="1:17" s="50" customFormat="1" ht="29.25" customHeight="1">
      <c r="A31" s="47" t="s">
        <v>91</v>
      </c>
      <c r="B31" s="48">
        <v>10700</v>
      </c>
      <c r="C31" s="13">
        <v>13250</v>
      </c>
      <c r="D31" s="71">
        <v>11700</v>
      </c>
      <c r="E31" s="81">
        <v>15764</v>
      </c>
      <c r="F31" s="48">
        <v>5154.6000000000004</v>
      </c>
      <c r="G31" s="13">
        <v>2757.8</v>
      </c>
      <c r="H31" s="71">
        <v>130.9</v>
      </c>
      <c r="I31" s="81">
        <v>3524.8</v>
      </c>
      <c r="J31" s="49"/>
      <c r="K31" s="65"/>
      <c r="L31" s="65"/>
      <c r="M31" s="66"/>
      <c r="N31" s="65"/>
      <c r="O31" s="66"/>
      <c r="P31" s="65"/>
      <c r="Q31" s="65"/>
    </row>
    <row r="32" spans="1:17" s="46" customFormat="1" ht="40.5" customHeight="1">
      <c r="A32" s="51" t="s">
        <v>11</v>
      </c>
      <c r="B32" s="52">
        <v>100</v>
      </c>
      <c r="C32" s="8">
        <v>2</v>
      </c>
      <c r="D32" s="72">
        <v>5</v>
      </c>
      <c r="E32" s="82">
        <v>5601</v>
      </c>
      <c r="F32" s="52">
        <v>1.9</v>
      </c>
      <c r="G32" s="8">
        <v>5.2</v>
      </c>
      <c r="H32" s="72">
        <v>229.3</v>
      </c>
      <c r="I32" s="82">
        <v>5568.9</v>
      </c>
      <c r="J32" s="45"/>
      <c r="K32" s="63"/>
      <c r="L32" s="63"/>
      <c r="M32" s="64"/>
      <c r="N32" s="63"/>
      <c r="O32" s="67"/>
      <c r="P32" s="63"/>
      <c r="Q32" s="63"/>
    </row>
    <row r="33" spans="1:17" s="46" customFormat="1" ht="42.75" customHeight="1">
      <c r="A33" s="51" t="s">
        <v>12</v>
      </c>
      <c r="B33" s="52">
        <f t="shared" ref="B33:H33" si="7">B34+B36</f>
        <v>1382</v>
      </c>
      <c r="C33" s="8">
        <f t="shared" si="7"/>
        <v>1089</v>
      </c>
      <c r="D33" s="8">
        <f t="shared" si="7"/>
        <v>995</v>
      </c>
      <c r="E33" s="82">
        <f>E34+E36+E35</f>
        <v>1099</v>
      </c>
      <c r="F33" s="52">
        <f t="shared" si="7"/>
        <v>499.4</v>
      </c>
      <c r="G33" s="8">
        <f t="shared" si="7"/>
        <v>234.8</v>
      </c>
      <c r="H33" s="8">
        <f t="shared" si="7"/>
        <v>393.7</v>
      </c>
      <c r="I33" s="82">
        <f>I34+I36+I35</f>
        <v>72.599999999999994</v>
      </c>
      <c r="J33" s="45"/>
      <c r="K33" s="63"/>
      <c r="L33" s="63"/>
      <c r="M33" s="64"/>
      <c r="N33" s="63"/>
      <c r="O33" s="64"/>
      <c r="P33" s="63"/>
      <c r="Q33" s="63"/>
    </row>
    <row r="34" spans="1:17" s="50" customFormat="1" ht="17.25" customHeight="1">
      <c r="A34" s="47" t="s">
        <v>92</v>
      </c>
      <c r="B34" s="48">
        <v>1300</v>
      </c>
      <c r="C34" s="13">
        <v>1000</v>
      </c>
      <c r="D34" s="71">
        <v>900</v>
      </c>
      <c r="E34" s="81">
        <v>1000</v>
      </c>
      <c r="F34" s="48">
        <v>420</v>
      </c>
      <c r="G34" s="13">
        <v>155</v>
      </c>
      <c r="H34" s="71">
        <v>300</v>
      </c>
      <c r="I34" s="81">
        <v>0</v>
      </c>
      <c r="J34" s="49"/>
      <c r="K34" s="65"/>
      <c r="L34" s="65"/>
      <c r="M34" s="66"/>
      <c r="N34" s="65"/>
      <c r="O34" s="66"/>
      <c r="P34" s="65"/>
      <c r="Q34" s="65"/>
    </row>
    <row r="35" spans="1:17" s="50" customFormat="1" ht="30">
      <c r="A35" s="47" t="s">
        <v>93</v>
      </c>
      <c r="B35" s="48"/>
      <c r="C35" s="13"/>
      <c r="D35" s="71"/>
      <c r="E35" s="81"/>
      <c r="F35" s="48"/>
      <c r="G35" s="13"/>
      <c r="H35" s="71"/>
      <c r="I35" s="81">
        <v>53.4</v>
      </c>
      <c r="J35" s="49"/>
      <c r="K35" s="65"/>
      <c r="L35" s="65"/>
      <c r="M35" s="66"/>
      <c r="N35" s="65"/>
      <c r="O35" s="66"/>
      <c r="P35" s="65"/>
      <c r="Q35" s="65"/>
    </row>
    <row r="36" spans="1:17" s="50" customFormat="1" ht="18" customHeight="1">
      <c r="A36" s="47" t="s">
        <v>94</v>
      </c>
      <c r="B36" s="48">
        <v>82</v>
      </c>
      <c r="C36" s="13">
        <v>89</v>
      </c>
      <c r="D36" s="71">
        <v>95</v>
      </c>
      <c r="E36" s="81">
        <v>99</v>
      </c>
      <c r="F36" s="48">
        <v>79.400000000000006</v>
      </c>
      <c r="G36" s="13">
        <v>79.8</v>
      </c>
      <c r="H36" s="71">
        <v>93.7</v>
      </c>
      <c r="I36" s="81">
        <v>19.2</v>
      </c>
      <c r="J36" s="49"/>
      <c r="K36" s="65"/>
      <c r="L36" s="65"/>
      <c r="M36" s="66"/>
      <c r="N36" s="65"/>
      <c r="O36" s="66"/>
      <c r="P36" s="65"/>
      <c r="Q36" s="65"/>
    </row>
    <row r="37" spans="1:17" s="46" customFormat="1" ht="25.5" customHeight="1">
      <c r="A37" s="51" t="s">
        <v>13</v>
      </c>
      <c r="B37" s="52">
        <v>1246</v>
      </c>
      <c r="C37" s="8">
        <v>1246</v>
      </c>
      <c r="D37" s="72">
        <v>525.1</v>
      </c>
      <c r="E37" s="82">
        <v>639.70000000000005</v>
      </c>
      <c r="F37" s="52">
        <v>120.3</v>
      </c>
      <c r="G37" s="8">
        <v>268</v>
      </c>
      <c r="H37" s="72">
        <v>356.4</v>
      </c>
      <c r="I37" s="82">
        <v>308.60000000000002</v>
      </c>
      <c r="J37" s="45"/>
      <c r="K37" s="63"/>
      <c r="L37" s="63"/>
      <c r="M37" s="64"/>
      <c r="N37" s="63"/>
      <c r="O37" s="64"/>
      <c r="P37" s="63"/>
      <c r="Q37" s="63"/>
    </row>
    <row r="38" spans="1:17" s="46" customFormat="1" ht="18" customHeight="1">
      <c r="A38" s="51" t="s">
        <v>58</v>
      </c>
      <c r="B38" s="52">
        <v>0</v>
      </c>
      <c r="C38" s="8">
        <v>0</v>
      </c>
      <c r="D38" s="72">
        <v>0</v>
      </c>
      <c r="E38" s="82"/>
      <c r="F38" s="52">
        <v>-20.3</v>
      </c>
      <c r="G38" s="8">
        <v>0</v>
      </c>
      <c r="H38" s="72">
        <v>3</v>
      </c>
      <c r="I38" s="82">
        <v>1.1000000000000001</v>
      </c>
      <c r="J38" s="45"/>
      <c r="K38" s="63"/>
      <c r="L38" s="63"/>
      <c r="M38" s="64"/>
      <c r="N38" s="63"/>
      <c r="O38" s="64"/>
      <c r="P38" s="63"/>
      <c r="Q38" s="63"/>
    </row>
    <row r="39" spans="1:17" s="46" customFormat="1" ht="22.5" customHeight="1">
      <c r="A39" s="51" t="s">
        <v>14</v>
      </c>
      <c r="B39" s="52">
        <f t="shared" ref="B39:I39" si="8">B40+B41+B42+B43+B44</f>
        <v>114630.7</v>
      </c>
      <c r="C39" s="8">
        <f t="shared" si="8"/>
        <v>144131.6</v>
      </c>
      <c r="D39" s="8">
        <f t="shared" si="8"/>
        <v>154823.79999999999</v>
      </c>
      <c r="E39" s="82">
        <f t="shared" si="8"/>
        <v>143500.20000000001</v>
      </c>
      <c r="F39" s="52">
        <f t="shared" si="8"/>
        <v>66755.100000000006</v>
      </c>
      <c r="G39" s="8">
        <f t="shared" si="8"/>
        <v>84602.2</v>
      </c>
      <c r="H39" s="8">
        <f t="shared" si="8"/>
        <v>83636.2</v>
      </c>
      <c r="I39" s="82">
        <f t="shared" si="8"/>
        <v>87571.500000000015</v>
      </c>
      <c r="J39" s="45"/>
      <c r="K39" s="63"/>
      <c r="L39" s="63"/>
      <c r="M39" s="64"/>
      <c r="N39" s="63"/>
      <c r="O39" s="64"/>
      <c r="P39" s="63"/>
      <c r="Q39" s="63"/>
    </row>
    <row r="40" spans="1:17" s="50" customFormat="1">
      <c r="A40" s="53" t="s">
        <v>95</v>
      </c>
      <c r="B40" s="48">
        <v>6767</v>
      </c>
      <c r="C40" s="13">
        <v>10381</v>
      </c>
      <c r="D40" s="71">
        <v>10318</v>
      </c>
      <c r="E40" s="81">
        <v>5018</v>
      </c>
      <c r="F40" s="48">
        <v>4758</v>
      </c>
      <c r="G40" s="13">
        <v>10381</v>
      </c>
      <c r="H40" s="71">
        <v>8510</v>
      </c>
      <c r="I40" s="81">
        <v>2508</v>
      </c>
      <c r="J40" s="49"/>
      <c r="K40" s="65"/>
      <c r="L40" s="65"/>
      <c r="M40" s="66"/>
      <c r="N40" s="65"/>
      <c r="O40" s="66"/>
      <c r="P40" s="65"/>
      <c r="Q40" s="65"/>
    </row>
    <row r="41" spans="1:17" s="50" customFormat="1" ht="17.25" customHeight="1">
      <c r="A41" s="47" t="s">
        <v>96</v>
      </c>
      <c r="B41" s="48">
        <v>8625.7000000000007</v>
      </c>
      <c r="C41" s="13">
        <v>44411.6</v>
      </c>
      <c r="D41" s="71">
        <v>17954.8</v>
      </c>
      <c r="E41" s="81">
        <v>16322.2</v>
      </c>
      <c r="F41" s="48">
        <v>5248.2</v>
      </c>
      <c r="G41" s="13">
        <v>14415</v>
      </c>
      <c r="H41" s="71">
        <v>4829.3</v>
      </c>
      <c r="I41" s="81">
        <v>5253.6</v>
      </c>
      <c r="J41" s="49"/>
      <c r="K41" s="65"/>
      <c r="L41" s="65"/>
      <c r="M41" s="66"/>
      <c r="N41" s="65"/>
      <c r="O41" s="66"/>
      <c r="P41" s="65"/>
      <c r="Q41" s="65"/>
    </row>
    <row r="42" spans="1:17" s="50" customFormat="1" ht="15" customHeight="1">
      <c r="A42" s="47" t="s">
        <v>97</v>
      </c>
      <c r="B42" s="48">
        <v>99238</v>
      </c>
      <c r="C42" s="13">
        <v>89337</v>
      </c>
      <c r="D42" s="71">
        <v>126549</v>
      </c>
      <c r="E42" s="81">
        <v>122160</v>
      </c>
      <c r="F42" s="48">
        <v>56779.9</v>
      </c>
      <c r="G42" s="13">
        <v>60632.2</v>
      </c>
      <c r="H42" s="71">
        <v>70296.899999999994</v>
      </c>
      <c r="I42" s="81">
        <v>80520.3</v>
      </c>
      <c r="J42" s="49"/>
      <c r="K42" s="65"/>
      <c r="L42" s="65"/>
      <c r="M42" s="66"/>
      <c r="N42" s="65"/>
      <c r="O42" s="66"/>
      <c r="P42" s="65"/>
      <c r="Q42" s="65"/>
    </row>
    <row r="43" spans="1:17" s="50" customFormat="1" ht="15.75" customHeight="1">
      <c r="A43" s="47" t="s">
        <v>98</v>
      </c>
      <c r="B43" s="48">
        <v>0</v>
      </c>
      <c r="C43" s="13">
        <v>0</v>
      </c>
      <c r="D43" s="71">
        <v>0</v>
      </c>
      <c r="E43" s="81">
        <v>0</v>
      </c>
      <c r="F43" s="48">
        <v>-31</v>
      </c>
      <c r="G43" s="13">
        <v>-828</v>
      </c>
      <c r="H43" s="71">
        <v>0</v>
      </c>
      <c r="I43" s="81">
        <v>0</v>
      </c>
      <c r="J43" s="49"/>
      <c r="K43" s="65"/>
      <c r="L43" s="65"/>
      <c r="M43" s="66"/>
      <c r="N43" s="65"/>
      <c r="O43" s="66"/>
      <c r="P43" s="65"/>
      <c r="Q43" s="65"/>
    </row>
    <row r="44" spans="1:17" s="50" customFormat="1" ht="15.75" thickBot="1">
      <c r="A44" s="54" t="s">
        <v>99</v>
      </c>
      <c r="B44" s="55"/>
      <c r="C44" s="56">
        <v>2</v>
      </c>
      <c r="D44" s="73">
        <v>2</v>
      </c>
      <c r="E44" s="84">
        <v>0</v>
      </c>
      <c r="F44" s="55"/>
      <c r="G44" s="56">
        <v>2</v>
      </c>
      <c r="H44" s="73">
        <v>0</v>
      </c>
      <c r="I44" s="84">
        <v>-710.4</v>
      </c>
      <c r="J44" s="49"/>
      <c r="K44" s="65"/>
      <c r="L44" s="65"/>
      <c r="M44" s="66"/>
      <c r="N44" s="65"/>
      <c r="O44" s="66"/>
      <c r="P44" s="65"/>
      <c r="Q44" s="65"/>
    </row>
    <row r="45" spans="1:17" s="42" customFormat="1" ht="22.5" customHeight="1" thickBot="1">
      <c r="A45" s="57" t="s">
        <v>15</v>
      </c>
      <c r="B45" s="38">
        <f t="shared" ref="B45:G45" si="9">B6+B22+B39</f>
        <v>247899.7</v>
      </c>
      <c r="C45" s="39">
        <f t="shared" si="9"/>
        <v>284095.59999999998</v>
      </c>
      <c r="D45" s="69">
        <f t="shared" si="9"/>
        <v>283410.8</v>
      </c>
      <c r="E45" s="40">
        <f t="shared" si="9"/>
        <v>291774.30000000005</v>
      </c>
      <c r="F45" s="38">
        <f t="shared" si="9"/>
        <v>124994</v>
      </c>
      <c r="G45" s="39">
        <f t="shared" si="9"/>
        <v>143459.1</v>
      </c>
      <c r="H45" s="69">
        <f>H6+H22+H39+H21</f>
        <v>148404.9</v>
      </c>
      <c r="I45" s="40">
        <f>I6+I22+I39+I21</f>
        <v>167852.5</v>
      </c>
      <c r="J45" s="41"/>
      <c r="K45" s="61"/>
      <c r="L45" s="61"/>
      <c r="M45" s="62"/>
      <c r="N45" s="61"/>
      <c r="O45" s="62"/>
      <c r="P45" s="61"/>
      <c r="Q45" s="61"/>
    </row>
  </sheetData>
  <mergeCells count="4">
    <mergeCell ref="A4:A5"/>
    <mergeCell ref="B4:E4"/>
    <mergeCell ref="F4:I4"/>
    <mergeCell ref="A2:I2"/>
  </mergeCells>
  <pageMargins left="0.7" right="0.7" top="0.75" bottom="0.75" header="0.3" footer="0.3"/>
  <pageSetup paperSize="9" scale="9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дох расх</vt:lpstr>
      <vt:lpstr>динамика дох</vt:lpstr>
      <vt:lpstr>Лист3</vt:lpstr>
      <vt:lpstr>'динамика дох'!Область_печати</vt:lpstr>
      <vt:lpstr>'дох расх'!Область_печати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Люда</dc:creator>
  <cp:lastModifiedBy>Люда</cp:lastModifiedBy>
  <cp:lastPrinted>2017-09-06T03:02:22Z</cp:lastPrinted>
  <dcterms:created xsi:type="dcterms:W3CDTF">2017-08-22T04:55:41Z</dcterms:created>
  <dcterms:modified xsi:type="dcterms:W3CDTF">2017-09-06T03:04:15Z</dcterms:modified>
</cp:coreProperties>
</file>